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0" windowWidth="13140" windowHeight="10470" tabRatio="839" activeTab="10"/>
  </bookViews>
  <sheets>
    <sheet name="MP" sheetId="1" r:id="rId1"/>
    <sheet name="elem incorp" sheetId="2" r:id="rId2"/>
    <sheet name="horas pers" sheetId="3" r:id="rId3"/>
    <sheet name="saldos-ABC" sheetId="4" r:id="rId4"/>
    <sheet name="balance" sheetId="5" r:id="rId5"/>
    <sheet name="coste produc-ABC" sheetId="6" r:id="rId6"/>
    <sheet name="prod curso" sheetId="7" r:id="rId7"/>
    <sheet name="prod term" sheetId="8" r:id="rId8"/>
    <sheet name="rdo por prod" sheetId="9" r:id="rId9"/>
    <sheet name="rdo por cliente" sheetId="10" r:id="rId10"/>
    <sheet name="estándar alumnos" sheetId="11" r:id="rId11"/>
  </sheets>
  <definedNames>
    <definedName name="SALDOPYG">'saldos-ABC'!$B$4</definedName>
  </definedNames>
  <calcPr fullCalcOnLoad="1"/>
</workbook>
</file>

<file path=xl/comments4.xml><?xml version="1.0" encoding="utf-8"?>
<comments xmlns="http://schemas.openxmlformats.org/spreadsheetml/2006/main">
  <authors>
    <author>F</author>
  </authors>
  <commentList>
    <comment ref="C163" authorId="0">
      <text>
        <r>
          <rPr>
            <b/>
            <sz val="8"/>
            <rFont val="Tahoma"/>
            <family val="2"/>
          </rPr>
          <t>SEGÚN CONSUMO KWH</t>
        </r>
      </text>
    </comment>
    <comment ref="C197" authorId="0">
      <text>
        <r>
          <rPr>
            <b/>
            <sz val="8"/>
            <rFont val="Tahoma"/>
            <family val="2"/>
          </rPr>
          <t>SEGÚN M2</t>
        </r>
      </text>
    </comment>
    <comment ref="C4" authorId="0">
      <text>
        <r>
          <rPr>
            <b/>
            <sz val="11"/>
            <rFont val="Tahoma"/>
            <family val="2"/>
          </rPr>
          <t xml:space="preserve">¿EL BALANCE DE SALDOS ESTÁ CUADRADO?
</t>
        </r>
        <r>
          <rPr>
            <b/>
            <sz val="11"/>
            <color indexed="11"/>
            <rFont val="Tahoma"/>
            <family val="2"/>
          </rPr>
          <t>:)  SÍ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>:(  NO</t>
        </r>
      </text>
    </comment>
    <comment ref="C3" authorId="0">
      <text>
        <r>
          <rPr>
            <b/>
            <sz val="11"/>
            <rFont val="Tahoma"/>
            <family val="2"/>
          </rPr>
          <t xml:space="preserve">¿SALDO CUENTA PyG CONTABILIDAD FINANCIERA=RESULTADO POR PRODUCTO?
</t>
        </r>
        <r>
          <rPr>
            <b/>
            <sz val="11"/>
            <color indexed="11"/>
            <rFont val="Tahoma"/>
            <family val="2"/>
          </rPr>
          <t>:)  SÍ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>:(  NO</t>
        </r>
      </text>
    </comment>
    <comment ref="C1" authorId="0">
      <text>
        <r>
          <rPr>
            <b/>
            <sz val="11"/>
            <rFont val="Tahoma"/>
            <family val="2"/>
          </rPr>
          <t xml:space="preserve">¿SALDO CUENTA PyG CF=RESULTADO POR CLIENTE?
</t>
        </r>
        <r>
          <rPr>
            <b/>
            <sz val="11"/>
            <color indexed="11"/>
            <rFont val="Tahoma"/>
            <family val="2"/>
          </rPr>
          <t>:)  SÍ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>:(  NO</t>
        </r>
      </text>
    </comment>
    <comment ref="C256" authorId="0">
      <text>
        <r>
          <rPr>
            <b/>
            <sz val="16"/>
            <rFont val="Tahoma"/>
            <family val="2"/>
          </rPr>
          <t xml:space="preserve">¿ESTÁN TODOS LOS COSTES INDIRECTOS DE LAS SUBCUENTAS REPARTIDOS ENTRE LAS ACTIVIDADES?
</t>
        </r>
        <r>
          <rPr>
            <b/>
            <sz val="16"/>
            <color indexed="11"/>
            <rFont val="Tahoma"/>
            <family val="2"/>
          </rPr>
          <t>:)  SÍ</t>
        </r>
        <r>
          <rPr>
            <b/>
            <sz val="16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:(  NO</t>
        </r>
      </text>
    </comment>
  </commentList>
</comments>
</file>

<file path=xl/comments6.xml><?xml version="1.0" encoding="utf-8"?>
<comments xmlns="http://schemas.openxmlformats.org/spreadsheetml/2006/main">
  <authors>
    <author>XP</author>
  </authors>
  <commentList>
    <comment ref="A6" authorId="0">
      <text>
        <r>
          <rPr>
            <b/>
            <sz val="12"/>
            <rFont val="Tahoma"/>
            <family val="2"/>
          </rPr>
          <t>Los envases no se han llevado a la actividad "20. Envasado y cierre" porque sé el coste a asignar a cada uno de los 4 productos, ya que cada uno consume un envase específico. El consumo de envases sería un coste directo, aunque por su importancia relativa no sería considerado materia prima.</t>
        </r>
      </text>
    </comment>
    <comment ref="B2" authorId="0">
      <text>
        <r>
          <rPr>
            <b/>
            <sz val="8"/>
            <rFont val="Tahoma"/>
            <family val="2"/>
          </rPr>
          <t>en este caso lo hemos tomado de las subcuentas contables de compras de mp, devoluciones y variación de existencias (pestaña saldos-ABC)</t>
        </r>
      </text>
    </comment>
    <comment ref="B3" authorId="0">
      <text>
        <r>
          <rPr>
            <b/>
            <sz val="8"/>
            <rFont val="Tahoma"/>
            <family val="2"/>
          </rPr>
          <t>pero en este caso lo hemos tomado de la información de producción (pestaña materia prima)</t>
        </r>
      </text>
    </comment>
    <comment ref="D14" authorId="0">
      <text>
        <r>
          <rPr>
            <b/>
            <sz val="8"/>
            <rFont val="Tahoma"/>
            <family val="2"/>
          </rPr>
          <t>No es exactamente la quinta parte del coste del producto 1l. porque hay costes que son independientes del volumen, por ej. el etiquetado</t>
        </r>
      </text>
    </comment>
  </commentList>
</comments>
</file>

<file path=xl/sharedStrings.xml><?xml version="1.0" encoding="utf-8"?>
<sst xmlns="http://schemas.openxmlformats.org/spreadsheetml/2006/main" count="751" uniqueCount="465">
  <si>
    <t>CÓDIGO</t>
  </si>
  <si>
    <t>TÍTULO</t>
  </si>
  <si>
    <t>SALDO</t>
  </si>
  <si>
    <t>CAPITAL SOCIAL</t>
  </si>
  <si>
    <t>NAVE P.I. OESTE C/CHILE 5/10</t>
  </si>
  <si>
    <t>BBVA OF. GRAN VÍA</t>
  </si>
  <si>
    <t>ELECTRICIDAD FÁBRICA</t>
  </si>
  <si>
    <t>MATERIAL OFICINA</t>
  </si>
  <si>
    <t>LIMPIEZA OFICINAS</t>
  </si>
  <si>
    <t>ACCIONES ENDESA</t>
  </si>
  <si>
    <t>ACTIVO</t>
  </si>
  <si>
    <t>PN Y PASIVO</t>
  </si>
  <si>
    <t>AnC</t>
  </si>
  <si>
    <t>PN</t>
  </si>
  <si>
    <t>AC</t>
  </si>
  <si>
    <t>PnC</t>
  </si>
  <si>
    <t>PC</t>
  </si>
  <si>
    <t>TOTAL</t>
  </si>
  <si>
    <t>MANO OBRA DIRECTA</t>
  </si>
  <si>
    <t>C.I.F.</t>
  </si>
  <si>
    <t>COSTE INDUSTRIAL PERIODO</t>
  </si>
  <si>
    <t>COSTE INDUSTRIAL PROD. TERMINADOS</t>
  </si>
  <si>
    <t>VENTAS NETAS</t>
  </si>
  <si>
    <t>VENTAS BRUTAS</t>
  </si>
  <si>
    <t>RAPPELS</t>
  </si>
  <si>
    <t>DEVOLUCIONES</t>
  </si>
  <si>
    <t>MARGEN BRUTO</t>
  </si>
  <si>
    <t>MARGEN COMERCIAL</t>
  </si>
  <si>
    <t>RESULTADO NETO EXPLOTACIÓN</t>
  </si>
  <si>
    <t>10. Centrifugado (aceite)</t>
  </si>
  <si>
    <t>11. Refinado zumo</t>
  </si>
  <si>
    <t>12. Clasificación zumo</t>
  </si>
  <si>
    <t>13. Inspec./calidad zumo clasif.</t>
  </si>
  <si>
    <t>14. Transporte a corrección</t>
  </si>
  <si>
    <t>15. Corrección</t>
  </si>
  <si>
    <t>16. Adición (azúcar, conservantes)</t>
  </si>
  <si>
    <t>Lote</t>
  </si>
  <si>
    <t>Unidad</t>
  </si>
  <si>
    <t>Nº pedidos recibidos</t>
  </si>
  <si>
    <t>Nº kg fruta transportados</t>
  </si>
  <si>
    <t>Nº kg fruta lavados</t>
  </si>
  <si>
    <t>Nº kg fruta cepillados</t>
  </si>
  <si>
    <t>Nº kg fruta exprimidos</t>
  </si>
  <si>
    <t>Nº litros aceite obtenidos</t>
  </si>
  <si>
    <t>Nº litros zumo refinados</t>
  </si>
  <si>
    <t>Nº litros zumo clasificados</t>
  </si>
  <si>
    <t>Nº lotes zumo clasific. inspeccionados</t>
  </si>
  <si>
    <t>Nº litros zumo clasific. transportados</t>
  </si>
  <si>
    <t>Recepción de la M.P.</t>
  </si>
  <si>
    <t>Lavado y cepillado</t>
  </si>
  <si>
    <t>Extracción, refinación y clasificación</t>
  </si>
  <si>
    <t>Corrección, agregado de nutrientes y conservantes</t>
  </si>
  <si>
    <t>17. Transp. zumo corregido→desaire.</t>
  </si>
  <si>
    <t>Nº litros zumo corregido transportados</t>
  </si>
  <si>
    <t>18. Enfriado</t>
  </si>
  <si>
    <t>Nº lotes zumo corregido enfriados</t>
  </si>
  <si>
    <t>19. Desaireación</t>
  </si>
  <si>
    <t>Nº lotes zumo corregido desairados</t>
  </si>
  <si>
    <t>20. Envasado y cierre</t>
  </si>
  <si>
    <t>Nº uds. slim 20cl o 1l envasados</t>
  </si>
  <si>
    <t>21. Transp. zumo envasado→pasteur.</t>
  </si>
  <si>
    <t>22. Pasteurización zumo envasado</t>
  </si>
  <si>
    <t>Nº lotes zumo envasado pasteurizados</t>
  </si>
  <si>
    <t>23. Transp. zumo envasado→enfriado</t>
  </si>
  <si>
    <t>24. Enfriado zumo envasado</t>
  </si>
  <si>
    <t>Nº lotes zumo envasado enfriados</t>
  </si>
  <si>
    <t>25. Transporte a etiquetado</t>
  </si>
  <si>
    <t>26. Etiquetado</t>
  </si>
  <si>
    <t>27. Empaquetado</t>
  </si>
  <si>
    <t>29. Almacenaje</t>
  </si>
  <si>
    <t>30. Logística</t>
  </si>
  <si>
    <t>Cliente</t>
  </si>
  <si>
    <t>31. Supervisión</t>
  </si>
  <si>
    <t>Nº lotes zumo envasado producidos</t>
  </si>
  <si>
    <t>32. Mantenimiento</t>
  </si>
  <si>
    <t>Aux./P.</t>
  </si>
  <si>
    <t>Nº horas trabajadas</t>
  </si>
  <si>
    <t>Desaireación y envasado</t>
  </si>
  <si>
    <t>Esterilización</t>
  </si>
  <si>
    <t>Enfriamiento</t>
  </si>
  <si>
    <t>Etiquetado y empaquetado</t>
  </si>
  <si>
    <t>Almacenaje</t>
  </si>
  <si>
    <t>Logística</t>
  </si>
  <si>
    <t>Supervisión</t>
  </si>
  <si>
    <t>Mantenimiento</t>
  </si>
  <si>
    <t>Fábrica</t>
  </si>
  <si>
    <t>Empresa</t>
  </si>
  <si>
    <t>---</t>
  </si>
  <si>
    <t>Nº pedidos/cliente</t>
  </si>
  <si>
    <t>Nº pedidos a proveedores</t>
  </si>
  <si>
    <t>Administración general</t>
  </si>
  <si>
    <t>Visitas clientes</t>
  </si>
  <si>
    <t>Nº promociones/cliente</t>
  </si>
  <si>
    <t xml:space="preserve">  3. Publicidad</t>
  </si>
  <si>
    <t>Nº entregas</t>
  </si>
  <si>
    <t>Diseño de producto</t>
  </si>
  <si>
    <t>Comercial</t>
  </si>
  <si>
    <t>MARCA "ZUMOLIT NARANJA"</t>
  </si>
  <si>
    <t>MARCA "ZUMOLIT POMELO"</t>
  </si>
  <si>
    <t>RESERVAS VOLUNTARIAS</t>
  </si>
  <si>
    <t>HIPOT. NAVE POL. IND. OESTE-SANTANDER</t>
  </si>
  <si>
    <t>PÓLIZA CRÉDITO SANTANDER</t>
  </si>
  <si>
    <t>naranja-1l.</t>
  </si>
  <si>
    <t>naranja-20cl.</t>
  </si>
  <si>
    <t>pomelo-1l.</t>
  </si>
  <si>
    <t>pomelo-20cl.</t>
  </si>
  <si>
    <t>mantenim.</t>
  </si>
  <si>
    <t>CARRET. ELEVADORA NISSAN FJ02A25U</t>
  </si>
  <si>
    <t>CARRET. ELEVADORA NISSAN Q02L20CU</t>
  </si>
  <si>
    <t>REGADERA SOBRE CEPILLOS FRUTA (LINDE D58)</t>
  </si>
  <si>
    <t>TREN CEPILLOS FRUTA (AVF12)</t>
  </si>
  <si>
    <t>TRANSP. A CEPILLADO (MMG78)</t>
  </si>
  <si>
    <t>TRANSP. HELICOIDAL A EXTRACCIÓN (NH 78J)</t>
  </si>
  <si>
    <t>PRENSA GUSANO 1 EXTRAC. ZUMO (VOLVO 8O)</t>
  </si>
  <si>
    <t>PRENSA GUSANO 2 EXTRAC. ZUMO (VOLVO 8O)</t>
  </si>
  <si>
    <t>EXTRACTOR ACEITE (ASD88)</t>
  </si>
  <si>
    <t>MÁQ. SEPARAD. CENTRÍF. ACEITE (CATERP12)</t>
  </si>
  <si>
    <t>BOMBA ZUMO A REFINADOR (MAN99)</t>
  </si>
  <si>
    <t>REFINADOR (TAMIZADORA) (ASD74)</t>
  </si>
  <si>
    <t>BOMBA ZUMO REFINADO A CLASIFIC. (VOLVO93MM)</t>
  </si>
  <si>
    <t>CLASIFICADOR ZUMO (MMG64)</t>
  </si>
  <si>
    <t>EQUIPO VERIFIC. AZÚCAR/ÁCIDO (LABAQKK85)</t>
  </si>
  <si>
    <t>PASTEURIZADORA (LSGM798)</t>
  </si>
  <si>
    <t>BOMBA ZUMO A CORRECCIÓN (MAN99)</t>
  </si>
  <si>
    <t>TANQUE CORREC. AZÚCAR/ÁCIDO 1 (CM4)</t>
  </si>
  <si>
    <t>TANQUE CORREC. AZÚCAR/ÁCIDO 2 (CM4)</t>
  </si>
  <si>
    <t>APLICADOR CONSERVANTE (CM4)</t>
  </si>
  <si>
    <t>TOLVA APLICACIÓN AZÚCAR (CM4)</t>
  </si>
  <si>
    <t>BOMBA ZUMO A DESAIREACIÓN (MAN99)</t>
  </si>
  <si>
    <t>ENFRIADOR CONDENSAC. (ASD88)</t>
  </si>
  <si>
    <t>2. Promociones</t>
  </si>
  <si>
    <t>1. Gestión clientes</t>
  </si>
  <si>
    <t>4. Distribución</t>
  </si>
  <si>
    <t>5. Diseño productos</t>
  </si>
  <si>
    <t>1. Gerencia</t>
  </si>
  <si>
    <t>2. Pedidos/facturación</t>
  </si>
  <si>
    <t>3. Pedidos/proveedores</t>
  </si>
  <si>
    <t>4. Contabilidad/fiscal</t>
  </si>
  <si>
    <t>5. Cobros/pagos</t>
  </si>
  <si>
    <t>6. RRHH</t>
  </si>
  <si>
    <t>7. Limpieza</t>
  </si>
  <si>
    <t>CÁMARA VACÍO DESAIREACIÓN (MANNG30)</t>
  </si>
  <si>
    <t>BOMBA ALTO VACÍO DESAIR. (MANNG30T)</t>
  </si>
  <si>
    <t>ENVASADORA (HUV954)</t>
  </si>
  <si>
    <t>BANDA TRANSP. A PASTEURIZ. (MY720)</t>
  </si>
  <si>
    <t>BANDA TRANSP. A LAVADO (MY589)</t>
  </si>
  <si>
    <t>TANQUE LAVADO FRUTA (ACERN)</t>
  </si>
  <si>
    <t>SILOS MATERIA PRIMA (CALDECAT7)</t>
  </si>
  <si>
    <t>BANDA TRANSP. A ENFRIAMIENTO (MY750)</t>
  </si>
  <si>
    <t>INYECT. AGUA ENFR. PROD. ENVAS. (BOSCH)</t>
  </si>
  <si>
    <t>MONTACARGAS TRANSP. A ETIQUETADO (CM4)</t>
  </si>
  <si>
    <t>FURG. TÉCNICOS MANTENIM. 6924DTV</t>
  </si>
  <si>
    <t>ETIQUETADORA (3138-NV PR. APP.)</t>
  </si>
  <si>
    <t>EMPAQUETADORA</t>
  </si>
  <si>
    <t>MONTACARGAS TRANSP. A ALMACÉN P.T. (CM4)</t>
  </si>
  <si>
    <t>ESTANT. METÁLICAS ALMACÉN P.T.</t>
  </si>
  <si>
    <t>COCHE COMERCIALES 8796FYT</t>
  </si>
  <si>
    <t>COCHE COMERCIALES 8854FYT</t>
  </si>
  <si>
    <t>NARANJAS</t>
  </si>
  <si>
    <t>POMELOS</t>
  </si>
  <si>
    <t>ZUMOLIT NARANJA SLIM 1L.</t>
  </si>
  <si>
    <t>ZUMOLIT NARANJA SLIM 20CL.</t>
  </si>
  <si>
    <t>ZUMOLIT POMELO SLIM 1L.</t>
  </si>
  <si>
    <t>ZUMOLIT POMELO SLIM 20CL.</t>
  </si>
  <si>
    <t>BENZOATO DE SODIO-E211</t>
  </si>
  <si>
    <t>BISULFITO DE SODIO-E223</t>
  </si>
  <si>
    <t>AZÚCAR</t>
  </si>
  <si>
    <t>SEG. SOCIAL (23,60%+3,20%)</t>
  </si>
  <si>
    <t>OPERADOR PLANTA-CJR</t>
  </si>
  <si>
    <t>OPERADOR PLANTA-PJG</t>
  </si>
  <si>
    <t>OPERADOR PLANTA-BBL</t>
  </si>
  <si>
    <t>OPERADOR PLANTA-MDGL</t>
  </si>
  <si>
    <t>OPERADOR PLANTA-CVO</t>
  </si>
  <si>
    <t>OPERADOR PLANTA-JAVM</t>
  </si>
  <si>
    <t>OPERADOR PLANTA-RME</t>
  </si>
  <si>
    <t>OPERADOR PLANTA-JPSB</t>
  </si>
  <si>
    <t>ESPECIALISTA MANTENIMIENTO-LFM</t>
  </si>
  <si>
    <t>ESPECIALISTA MANTENIMIENTO-AFM</t>
  </si>
  <si>
    <t>ESPECIALISTA MANTENIMIENTO-JLHG</t>
  </si>
  <si>
    <t>FRUTAS DOLKIN, S.L.</t>
  </si>
  <si>
    <t>COOPERATIVA AGRARIA CIEZANA DE FRUTAS</t>
  </si>
  <si>
    <t>IMPOMELO, S.A.</t>
  </si>
  <si>
    <t>COALIMENT ANDALUCIA S.L.</t>
  </si>
  <si>
    <t>AZÚCAR LUTOR, S.C.A.</t>
  </si>
  <si>
    <t>CENTROS COMERCIALES CARREFOUR, S.A.</t>
  </si>
  <si>
    <t>GRUPO EL ARBOL DIST. Y SUP, S.A. UNIPERS.</t>
  </si>
  <si>
    <t>EROSKI, S. COOP.</t>
  </si>
  <si>
    <t>ALCAMPO, S.A.</t>
  </si>
  <si>
    <t>1. Recepc. y almac. M.P.</t>
  </si>
  <si>
    <t>2. Transporte a lavado (banda)</t>
  </si>
  <si>
    <t>3. Inspección visual</t>
  </si>
  <si>
    <t>4. Lavado</t>
  </si>
  <si>
    <t>5. Transporte a cepillado</t>
  </si>
  <si>
    <t>6. Cepillado</t>
  </si>
  <si>
    <t>7. Transporte a extracc. (helic.)</t>
  </si>
  <si>
    <t>8. Extracción (nar, pom→zumo)</t>
  </si>
  <si>
    <t>9. Extracción (c, h, p→aceite)</t>
  </si>
  <si>
    <t>GRUPO UPPER, S.COOP.</t>
  </si>
  <si>
    <t>Disp.</t>
  </si>
  <si>
    <t>Exist.</t>
  </si>
  <si>
    <t>Exig.</t>
  </si>
  <si>
    <t>PROEXPORT, S.A.</t>
  </si>
  <si>
    <t>PRORRATEO PAGAS EXTRAORDINARIAS</t>
  </si>
  <si>
    <t>MERCADONA, S.A.</t>
  </si>
  <si>
    <t>CASH EUROPA, S.A.</t>
  </si>
  <si>
    <t>HIPERCOR, S.A.</t>
  </si>
  <si>
    <t>MARKETING PROMOCIONAL, S.A.</t>
  </si>
  <si>
    <t>CONSERVANTES SURESTE, S.A.</t>
  </si>
  <si>
    <r>
      <t>Cost driver</t>
    </r>
    <r>
      <rPr>
        <b/>
        <sz val="10"/>
        <rFont val="Arial"/>
        <family val="2"/>
      </rPr>
      <t>→</t>
    </r>
  </si>
  <si>
    <t>Tipo→</t>
  </si>
  <si>
    <t>Activ.→</t>
  </si>
  <si>
    <t>Secc.→</t>
  </si>
  <si>
    <t>Área→</t>
  </si>
  <si>
    <t>PIEZAS REPUESTO</t>
  </si>
  <si>
    <t>BASAL ASESORES FISCAL-CONTABLE-LABORAL</t>
  </si>
  <si>
    <t>CONSUMO M.P. NARANJAS</t>
  </si>
  <si>
    <t>CONSUMO M.P. POMELOS</t>
  </si>
  <si>
    <t>Nº litros zumo envasado transportados</t>
  </si>
  <si>
    <t>Nº litros zumo empaquetado transportados</t>
  </si>
  <si>
    <t>28. Transp. zumo empaquetado→almac.</t>
  </si>
  <si>
    <t>coste activ.</t>
  </si>
  <si>
    <t>nº cost drivers</t>
  </si>
  <si>
    <t>nº lotes</t>
  </si>
  <si>
    <t>coste/cost driver</t>
  </si>
  <si>
    <t>Nº litros zumo clasific. corregidos</t>
  </si>
  <si>
    <t>ENVASES</t>
  </si>
  <si>
    <t>EMBALAJES</t>
  </si>
  <si>
    <t>ENVASE NARANJA 1 LITRO</t>
  </si>
  <si>
    <t>ENVASE NARANJA 20 CL</t>
  </si>
  <si>
    <t>ENVASE POMELO 1 LITRO</t>
  </si>
  <si>
    <t>ENVASE POMELO 20 CL</t>
  </si>
  <si>
    <t>Nº uds. slim 1l o 20cl etiquetados</t>
  </si>
  <si>
    <t>Nº paquetes (6x1l ó 12x20cl)</t>
  </si>
  <si>
    <t>aceite</t>
  </si>
  <si>
    <t>Nº europalets almacenados</t>
  </si>
  <si>
    <t>Nº europalets expedidos por cliente</t>
  </si>
  <si>
    <t>Total coste producción</t>
  </si>
  <si>
    <r>
      <t>←</t>
    </r>
    <r>
      <rPr>
        <sz val="10"/>
        <rFont val="Arial"/>
        <family val="2"/>
      </rPr>
      <t>Total coste no asignable a producción prod. principales</t>
    </r>
  </si>
  <si>
    <t>VARIACIÓN EXIST. PRODUCTOS EN CURSO</t>
  </si>
  <si>
    <t>COSTE POR LITRO PRODUCIDO</t>
  </si>
  <si>
    <t>COSTE POR UNIDAD ENVASADA 1l. Ó 20cl.</t>
  </si>
  <si>
    <t xml:space="preserve">COSTE POR CAJA 6 x 1l. Ó 12 x 20cl. </t>
  </si>
  <si>
    <t>Nº LITROS PRODUCIDOS</t>
  </si>
  <si>
    <t>Nº UNIDADES ENVASADAS 1l. Ó 20cl.</t>
  </si>
  <si>
    <t xml:space="preserve">Nº CAJAS 6 x 1l. Ó 12 x 20cl. </t>
  </si>
  <si>
    <t>COSTE INDUSTRIAL VENTAS</t>
  </si>
  <si>
    <t>unidades</t>
  </si>
  <si>
    <t>precio medio venta</t>
  </si>
  <si>
    <t>ventas totales</t>
  </si>
  <si>
    <t>cajas</t>
  </si>
  <si>
    <t>COSTES EMPRESA</t>
  </si>
  <si>
    <t>COSTES COMERCIALES</t>
  </si>
  <si>
    <t>RESULTADO FINANCIERO</t>
  </si>
  <si>
    <t>palets</t>
  </si>
  <si>
    <t>ACEITE EXTRAÍDO DE CÁSCARA, HUESO Y PULPA</t>
  </si>
  <si>
    <t>C.I.V.</t>
  </si>
  <si>
    <t>Margen industrial</t>
  </si>
  <si>
    <t>Total</t>
  </si>
  <si>
    <t>Costes comerciales</t>
  </si>
  <si>
    <t>Costes empresa</t>
  </si>
  <si>
    <t>Resultado financiero</t>
  </si>
  <si>
    <t>Resultado explotación</t>
  </si>
  <si>
    <t>Margen comercial</t>
  </si>
  <si>
    <t>MANTE-NIMIENTO</t>
  </si>
  <si>
    <t>Margen comercial s/vtas</t>
  </si>
  <si>
    <r>
      <t xml:space="preserve">BALANCE DE SALDOS TRAS REALIZAR TODOS LOS ASIENTOS </t>
    </r>
    <r>
      <rPr>
        <b/>
        <sz val="10"/>
        <color indexed="10"/>
        <rFont val="Arial"/>
        <family val="2"/>
      </rPr>
      <t>EXCEPTO</t>
    </r>
    <r>
      <rPr>
        <b/>
        <sz val="10"/>
        <rFont val="Arial"/>
        <family val="2"/>
      </rPr>
      <t xml:space="preserve"> LOS DE </t>
    </r>
    <r>
      <rPr>
        <b/>
        <sz val="10"/>
        <color indexed="10"/>
        <rFont val="Arial"/>
        <family val="2"/>
      </rPr>
      <t>REGULAR. DE ING. Y GTOS. Y CIERRE</t>
    </r>
  </si>
  <si>
    <t>H.P. ACREEDORA POR IVA</t>
  </si>
  <si>
    <t>MARGEN BRUTO S/VTAS</t>
  </si>
  <si>
    <t>MARGEN COMERCIAL S/VTAS</t>
  </si>
  <si>
    <t>RDO. NETO EXPLOTACIÓN S/VTAS</t>
  </si>
  <si>
    <t>INTERESES PÓLIZA CRÉDITO</t>
  </si>
  <si>
    <t>MATERIA PRIMA</t>
  </si>
  <si>
    <t>MANO DE OBRA DIRECTA</t>
  </si>
  <si>
    <t>Desviaciones en materias pimas</t>
  </si>
  <si>
    <t>D. Técnica = PE (qs-qe) ps</t>
  </si>
  <si>
    <t>Naranja</t>
  </si>
  <si>
    <t>Pomelo</t>
  </si>
  <si>
    <t>Descarte piezas defectuosas: kg fruta consumidos x (kg/kg descarte estándar - kg/kg descarte real) x €/kg coste estándar fruta</t>
  </si>
  <si>
    <t>Eficiencia MP (kg fruta→litro zumo): litros zumo obtenidos x (kg/litro fruta necesaria estándar - kg/litro fruta necesaria real) x €/kg coste estándar fruta</t>
  </si>
  <si>
    <t>Estándar</t>
  </si>
  <si>
    <t>Real</t>
  </si>
  <si>
    <t>Días producción</t>
  </si>
  <si>
    <t>Producción</t>
  </si>
  <si>
    <t>► slim 1 l.</t>
  </si>
  <si>
    <t>dato obtenido de fábrica</t>
  </si>
  <si>
    <t>► slim 20 cl.</t>
  </si>
  <si>
    <t>Producción total</t>
  </si>
  <si>
    <t>Eficiencia MP</t>
  </si>
  <si>
    <t>kg entrados a lavado</t>
  </si>
  <si>
    <t>kg descartados en inspec. visual</t>
  </si>
  <si>
    <t>Descarte piezas defectuosas</t>
  </si>
  <si>
    <t>kg consumidos</t>
  </si>
  <si>
    <t>precio</t>
  </si>
  <si>
    <t>total</t>
  </si>
  <si>
    <t>Existencias iniciales</t>
  </si>
  <si>
    <t>Compras</t>
  </si>
  <si>
    <t>Existencias finales</t>
  </si>
  <si>
    <t>Variación existencias</t>
  </si>
  <si>
    <t>DATOS REALES</t>
  </si>
  <si>
    <t>COSTE</t>
  </si>
  <si>
    <t>HORAS A PRODUCTOS</t>
  </si>
  <si>
    <t>COSTE A PRODUCTOS</t>
  </si>
  <si>
    <t>OPERARIO</t>
  </si>
  <si>
    <t>HORAS</t>
  </si>
  <si>
    <t>COSTE/HORA</t>
  </si>
  <si>
    <t>NAR. 1l.</t>
  </si>
  <si>
    <t>NAR. 20cl.</t>
  </si>
  <si>
    <t>POM. 1l.</t>
  </si>
  <si>
    <t>POM. 20cl.</t>
  </si>
  <si>
    <t>MANO DE OBRA INDIRECTA</t>
  </si>
  <si>
    <t>ACTIVIDADES FÁBRICA</t>
  </si>
  <si>
    <t>28. Transp. zumo envasado→almac.</t>
  </si>
  <si>
    <t>TRABAJOS EXTERIORES</t>
  </si>
  <si>
    <t>LFM</t>
  </si>
  <si>
    <t>AFM</t>
  </si>
  <si>
    <t>JLHG</t>
  </si>
  <si>
    <t>Total horas</t>
  </si>
  <si>
    <t>Total coste</t>
  </si>
  <si>
    <t>subrep.</t>
  </si>
  <si>
    <t>trab. ext.</t>
  </si>
  <si>
    <t>ELEMENTOS INCORPORABLES</t>
  </si>
  <si>
    <t>Azúcar</t>
  </si>
  <si>
    <t>benzoato de sodio-E211</t>
  </si>
  <si>
    <t>bisulfito de sodio-E223</t>
  </si>
  <si>
    <t>uds</t>
  </si>
  <si>
    <t>coste</t>
  </si>
  <si>
    <t>Consumo</t>
  </si>
  <si>
    <t>PRODUCTOS TERMINADOS</t>
  </si>
  <si>
    <t>Naranja slim 1 l.</t>
  </si>
  <si>
    <t>Naranja slim 20 cl.</t>
  </si>
  <si>
    <t>Pomelo slim 1 l.</t>
  </si>
  <si>
    <t>Pomelo slim 20 cl.</t>
  </si>
  <si>
    <t>Ex. inic.</t>
  </si>
  <si>
    <t>Ex. fin.</t>
  </si>
  <si>
    <t>Var. exist.</t>
  </si>
  <si>
    <t>PRODUCTOS EN CURSO</t>
  </si>
  <si>
    <t>ENERO 2015</t>
  </si>
  <si>
    <t>31.01.2015</t>
  </si>
  <si>
    <t>VENTAS
ENERO 2015</t>
  </si>
  <si>
    <t>COMPRA MP: NARANJAS</t>
  </si>
  <si>
    <t>COMPRA MP: POMELOS</t>
  </si>
  <si>
    <t>COMPRA APROVIS.: AZÚCAR</t>
  </si>
  <si>
    <t>COMPRA APROVIS.: BENZOATO DE SODIO-E211</t>
  </si>
  <si>
    <t>COMPRA APROVIS.: BISULFITO DE SODIO-E223</t>
  </si>
  <si>
    <t>COMPRA APROVIS.: ENVASE NARANJA 1 LITRO</t>
  </si>
  <si>
    <t>Sdo.PyG</t>
  </si>
  <si>
    <t>COMPRA APROVIS.: ENVASE NARANJA 20 CL</t>
  </si>
  <si>
    <t>COMPRA APROVIS.: ENVASE POMELO 1 LITRO</t>
  </si>
  <si>
    <t>COMPRA APROVIS.: ENVASE POMELO 20 CL</t>
  </si>
  <si>
    <t>DEVOLUC. COMPRAS: NARANJAS</t>
  </si>
  <si>
    <t>VAR. EXIST.: NARANJAS</t>
  </si>
  <si>
    <t>VAR. EXIST.: POMELOS</t>
  </si>
  <si>
    <t>VAR. EXIST.: AZÚCAR</t>
  </si>
  <si>
    <t>VAR. EXIST.: BENZOATO DE SODIO-E211</t>
  </si>
  <si>
    <t>VAR. EXIST.: BISULFITO DE SODIO-E223</t>
  </si>
  <si>
    <t>VAR. EXIST.: ENVASE NARANJA 1 LITRO</t>
  </si>
  <si>
    <t>VAR. EXIST.: ENVASE NARANJA 20 CL</t>
  </si>
  <si>
    <t>VAR. EXIST.: ENVASE POMELO 1 LITRO</t>
  </si>
  <si>
    <t>VAR. EXIST.: ENVASE POMELO 20 CL</t>
  </si>
  <si>
    <t>REPARAC.: PASTEURIZADORA (LSGM798)</t>
  </si>
  <si>
    <t>REPARAC.: NAVE POL. IND. OESTE C/LIMA 6/8</t>
  </si>
  <si>
    <t>TRANSPORTE: TODOS PRODUCTOS</t>
  </si>
  <si>
    <t>PUBLICIDAD: ONDA CERO</t>
  </si>
  <si>
    <t>PUBLICIDAD: LA VERDAD</t>
  </si>
  <si>
    <t>PUBLICIDAD: VALLAS PUBLICITARIAS</t>
  </si>
  <si>
    <t>PUBLICIDAD: PROMOC. EN PUNTO DE VENTA</t>
  </si>
  <si>
    <t>SUELDO: GERENTE-JUG</t>
  </si>
  <si>
    <t>SUELDO: JEFE ADMINISTRACIÓN-PATG</t>
  </si>
  <si>
    <t>SUELDO: DIRECTOR COMERCIAL-STRC</t>
  </si>
  <si>
    <t>SUELDO: COMERCIAL-EPIB</t>
  </si>
  <si>
    <t>SUELDO: COMERCIAL-LRF</t>
  </si>
  <si>
    <t>SUELDO: COMERCIAL-MJL</t>
  </si>
  <si>
    <t>SUELDO: ADMINISTRATIVO-VGR</t>
  </si>
  <si>
    <t>SUELDO: ADMINISTRATIVO-JAMG</t>
  </si>
  <si>
    <t>SUELDO: SUPERVISOR FÁBRICA-MTE</t>
  </si>
  <si>
    <t>SUELDO: SUPERVISOR FÁBRICA-ACG</t>
  </si>
  <si>
    <t>SUELDO: OPERADOR PLANTA-CJR</t>
  </si>
  <si>
    <t>SUELDO: OPERADOR PLANTA-PJG</t>
  </si>
  <si>
    <t>SUELDO: OPERADOR PLANTA-BBL</t>
  </si>
  <si>
    <t>SUELDO: OPERADOR PLANTA-MDGL</t>
  </si>
  <si>
    <t>SUELDO: OPERADOR PLANTA-CVO</t>
  </si>
  <si>
    <t>SUELDO: OPERADOR PLANTA-JAVM</t>
  </si>
  <si>
    <t>SUELDO: OPERADOR PLANTA-RME</t>
  </si>
  <si>
    <t>SUELDO: OPERADOR PLANTA-JPSB</t>
  </si>
  <si>
    <t>SUELDO: CONTROL CALIDAD-MCAM</t>
  </si>
  <si>
    <t>SUELDO: ESPECIALISTA MANTENIMIENTO-LFM</t>
  </si>
  <si>
    <t>SUELDO: ESPECIALISTA MANTENIMIENTO-AFM</t>
  </si>
  <si>
    <t>SUELDO: ESPECIALISTA MANTENIMIENTO-JLHG</t>
  </si>
  <si>
    <t>SUELDO: OPERADOR ALMACÉN-IGT</t>
  </si>
  <si>
    <t>SUELDO: OPERADOR ALMACÉN-MLTB</t>
  </si>
  <si>
    <t>INTERESES HIPOT. NAVE POL. IND. OESTE C/CHILE 5/10</t>
  </si>
  <si>
    <t>AMORTIZ. MARCA "ZUMOLIT NARANJA"</t>
  </si>
  <si>
    <t>AMORTIZ. MARCA "ZUMOLIT POMELO"</t>
  </si>
  <si>
    <t>AMORTIZ. NAVE P.I. OESTE C/CHILE 5/10</t>
  </si>
  <si>
    <t>AMORTIZ. EQUIPO VERIFIC. AZÚCAR/ÁCIDO (LABAQKK85)</t>
  </si>
  <si>
    <t>AMORTIZ. CARRET. ELEVADORA NISSAN FJ02A25U</t>
  </si>
  <si>
    <t>AMORTIZ. CARRET. ELEVADORA NISSAN Q02L20CU</t>
  </si>
  <si>
    <t>AMORTIZ. SILOS MATERIA PRIMA (CALDECAT7)</t>
  </si>
  <si>
    <t>AMORTIZ. BANDA TRANSP. A LAVADO (MY589)</t>
  </si>
  <si>
    <t>AMORTIZ. TANQUE LAVADO FRUTA (ACERN)</t>
  </si>
  <si>
    <t>AMORTIZ. TRANSP. A CEPILLADO (MMG78)</t>
  </si>
  <si>
    <t>AMORTIZ. TREN CEPILLOS FRUTA (AVF12)</t>
  </si>
  <si>
    <t>AMORTIZ. REGADERA SOBRE CEPILLOS FRUTA (LINDE D58)</t>
  </si>
  <si>
    <t>AMORTIZ. TRANSP. HELICOIDAL A EXTRACCIÓN (NH 78J)</t>
  </si>
  <si>
    <t>AMORTIZ. PRENSA GUSANO 1 EXTRAC. ZUMO (VOLVO 8O)</t>
  </si>
  <si>
    <t>AMORTIZ. PRENSA GUSANO 2 EXTRAC. ZUMO (VOLVO 8O)</t>
  </si>
  <si>
    <t>AMORTIZ. EXTRACTOR ACEITE (ASD88)</t>
  </si>
  <si>
    <t>AMORTIZ. MÁQ. SEPARAD. CENTRÍF. ACEITE (CATERP12)</t>
  </si>
  <si>
    <t>AMORTIZ. BOMBA ZUMO A REFINADOR (MAN99)</t>
  </si>
  <si>
    <t>AMORTIZ. REFINADOR (TAMIZADORA) (ASD74)</t>
  </si>
  <si>
    <t>AMORTIZ. BOMBA ZUMO REFINADO A CLASIFIC. (VOLVO93MM)</t>
  </si>
  <si>
    <t>AMORTIZ. CLASIFICADOR ZUMO (MMG64)</t>
  </si>
  <si>
    <t>AMORTIZ. BOMBA ZUMO A CORRECCIÓN (MAN99)</t>
  </si>
  <si>
    <t>AMORTIZ. TANQUE CORREC. AZÚCAR/ÁCIDO 1 (CM4)</t>
  </si>
  <si>
    <t>AMORTIZ. TANQUE CORREC. AZÚCAR/ÁCIDO 2 (CM4)</t>
  </si>
  <si>
    <t>AMORTIZ. APLICADOR CONSERVANTE (CM4)</t>
  </si>
  <si>
    <t>AMORTIZ. TOLVA APLICACIÓN AZÚCAR (CM4)</t>
  </si>
  <si>
    <t>AMORTIZ. BOMBA ZUMO A DESAIREACIÓN (MAN99)</t>
  </si>
  <si>
    <t>AMORTIZ. ENFRIADOR CONDENSAC. (ASD88)</t>
  </si>
  <si>
    <t>AMORTIZ. CÁMARA VACÍO DESAIREACIÓN (MANNG30)</t>
  </si>
  <si>
    <t>AMORTIZ. BOMBA ALTO VACÍO DESAIR. (MANNG30T)</t>
  </si>
  <si>
    <t>AMORTIZ. ENVASADORA (HUV954)</t>
  </si>
  <si>
    <t>AMORTIZ. BANDA TRANSP. A PASTEURIZ. (MY720)</t>
  </si>
  <si>
    <t>AMORTIZ. PASTEURIZADORA (LSGM798)</t>
  </si>
  <si>
    <t>AMORTIZ. BANDA TRANSP. A ENFRIAMIENTO (MY750)</t>
  </si>
  <si>
    <t>AMORTIZ. INYECT. AGUA ENFR. PROD. ENVAS. (BOSCH)</t>
  </si>
  <si>
    <t>AMORTIZ. MONTACARGAS TRANSP. A ETIQUETADO (CM4)</t>
  </si>
  <si>
    <t>AMORTIZ. ETIQUETADORA (3138-NV PR. APP.)</t>
  </si>
  <si>
    <t>AMORTIZ. EMPAQUETADORA</t>
  </si>
  <si>
    <t>AMORTIZ. MONTACARGAS TRANSP. A ALMACÉN P.T. (CM4)</t>
  </si>
  <si>
    <t>AMORTIZ. ESTANT. METÁLICAS ALMACÉN P.T.</t>
  </si>
  <si>
    <t>AMORTIZ. FURG. TÉCNICOS MANTENIM. 6924DTV</t>
  </si>
  <si>
    <t>AMORTIZ. COCHE COMERCIALES 8796FYT</t>
  </si>
  <si>
    <t>AMORTIZ. COCHE COMERCIALES 8854FYT</t>
  </si>
  <si>
    <t>VENTAS ZUMOLIT NARANJA SLIM 1L.</t>
  </si>
  <si>
    <t>VENTAS ZUMOLIT NARANJA SLIM 20CL.</t>
  </si>
  <si>
    <t>VENTAS ZUMOLIT POMELO SLIM 1L.</t>
  </si>
  <si>
    <t>VENTAS ZUMOLIT POMELO SLIM 20CL.</t>
  </si>
  <si>
    <t>PREST. SERV. MANTENIMIENTO EXTERIOR</t>
  </si>
  <si>
    <t>VAR. EXIST. P EN C.: ZUMOLIT NARANJA SLIM 1L.</t>
  </si>
  <si>
    <t>VAR. EXIST. P EN C.: ZUMOLIT NARANJA SLIM 20CL.</t>
  </si>
  <si>
    <t>VAR. EXIST. P EN C.: ZUMOLIT POMELO SLIM 1L.</t>
  </si>
  <si>
    <t>VAR. EXIST. P EN C.: ZUMOLIT POMELO SLIM 20CL.</t>
  </si>
  <si>
    <t>VAR. EXIST. P.T.: ZUMOLIT NARANJA SLIM 1L.</t>
  </si>
  <si>
    <t>VAR. EXIST. P.T.: ZUMOLIT NARANJA SLIM 20CL.</t>
  </si>
  <si>
    <t>VAR. EXIST. P.T.: ZUMOLIT POMELO SLIM 1L.</t>
  </si>
  <si>
    <t>VAR. EXIST. P.T.: ZUMOLIT POMELO SLIM 20CL.</t>
  </si>
  <si>
    <t>VAR. EXIST. SUBPROD.: ACEITE EXTRAÍDO DE CÁSCARA, HUESO Y PULPA</t>
  </si>
  <si>
    <t>DIVIDENDOS ACCIONES ENDESA</t>
  </si>
  <si>
    <t>RENDIMIENTO C/C BBVA</t>
  </si>
  <si>
    <t>642 S.SOC</t>
  </si>
  <si>
    <t>640 SyS</t>
  </si>
  <si>
    <t>% S. SOC.</t>
  </si>
  <si>
    <t>C.M.P.</t>
  </si>
  <si>
    <t>TOTAL HORAS</t>
  </si>
  <si>
    <t>subreparto MOI</t>
  </si>
  <si>
    <t>coste tras subr. MOI</t>
  </si>
  <si>
    <t>VALORACIÓN ACEITE EXTRAÍDO PARA INVENTARIO</t>
  </si>
  <si>
    <t>D. Económica = Qr (ps-pe)</t>
  </si>
  <si>
    <t>PE</t>
  </si>
  <si>
    <t>qs</t>
  </si>
  <si>
    <t>qe</t>
  </si>
  <si>
    <t>ps</t>
  </si>
  <si>
    <t>Qr</t>
  </si>
  <si>
    <t>pe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</si>
</sst>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#,##0.000000"/>
    <numFmt numFmtId="167" formatCode="#,##0\ &quot;pedidos nar.&quot;"/>
    <numFmt numFmtId="168" formatCode="#,##0\ &quot;pedidos pom.&quot;"/>
    <numFmt numFmtId="169" formatCode="#,##0.00\ &quot;kg nar.&quot;"/>
    <numFmt numFmtId="170" formatCode="#,##0.00\ &quot;kg pom.&quot;"/>
    <numFmt numFmtId="171" formatCode="#,##0.00\ &quot;€/litro aceite&quot;"/>
    <numFmt numFmtId="172" formatCode="#,##0\ &quot;uds. nar. 1l.&quot;"/>
    <numFmt numFmtId="173" formatCode="#,##0\ &quot;uds. nar. 20cl.&quot;"/>
    <numFmt numFmtId="174" formatCode="#,##0\ &quot;uds. pom. 1l.&quot;"/>
    <numFmt numFmtId="175" formatCode="#,##0\ &quot;uds. pom. 20cl.&quot;"/>
    <numFmt numFmtId="176" formatCode="#,##0\ &quot;litros nar. 1l.&quot;"/>
    <numFmt numFmtId="177" formatCode="#,##0\ &quot;litros nar. 20cl.&quot;"/>
    <numFmt numFmtId="178" formatCode="#,##0\ &quot;litros pom. 1l.&quot;"/>
    <numFmt numFmtId="179" formatCode="#,##0\ &quot;litros pom. 20cl.&quot;"/>
    <numFmt numFmtId="180" formatCode="#,##0\ &quot;litros&quot;"/>
    <numFmt numFmtId="181" formatCode="#,##0\ &quot;uds. 1l.&quot;"/>
    <numFmt numFmtId="182" formatCode="#,##0\ &quot;uds. 20cl.&quot;"/>
    <numFmt numFmtId="183" formatCode="#,##0\ &quot;cajas 6 uds.&quot;"/>
    <numFmt numFmtId="184" formatCode="#,##0\ &quot;cajas 12 uds.&quot;"/>
    <numFmt numFmtId="185" formatCode="0.000\ &quot;€/litro&quot;"/>
    <numFmt numFmtId="186" formatCode="0.000\ &quot;€/slim 1l.&quot;"/>
    <numFmt numFmtId="187" formatCode="0.000\ &quot;€/slim 20cl.&quot;"/>
    <numFmt numFmtId="188" formatCode="0.000\ &quot;€/caja 6 uds.&quot;"/>
    <numFmt numFmtId="189" formatCode="0.000\ &quot;€/caja 12 uds.&quot;"/>
    <numFmt numFmtId="190" formatCode="#,##0.00000"/>
    <numFmt numFmtId="191" formatCode="#,##0.0000000"/>
    <numFmt numFmtId="192" formatCode="0.0%"/>
    <numFmt numFmtId="193" formatCode="#,##0.00\ &quot;€&quot;"/>
    <numFmt numFmtId="194" formatCode="#,##0.0"/>
    <numFmt numFmtId="195" formatCode="0.0"/>
    <numFmt numFmtId="196" formatCode="#,##0\ &quot;€&quot;"/>
    <numFmt numFmtId="197" formatCode="#,##0.00\ &quot;€/kg&quot;"/>
    <numFmt numFmtId="198" formatCode="0.000000"/>
    <numFmt numFmtId="199" formatCode="0.00000"/>
    <numFmt numFmtId="200" formatCode="0.0000"/>
    <numFmt numFmtId="201" formatCode="0.000"/>
    <numFmt numFmtId="202" formatCode="#,##0\ &quot;días&quot;"/>
    <numFmt numFmtId="203" formatCode="#,##0.00\ &quot;litros/día&quot;"/>
    <numFmt numFmtId="204" formatCode="#,##0.00\ &quot;uds.&quot;"/>
    <numFmt numFmtId="205" formatCode="#,##0.00\ &quot;litros&quot;"/>
    <numFmt numFmtId="206" formatCode="#,##0.00\ &quot;kg/litro&quot;"/>
    <numFmt numFmtId="207" formatCode="#,##0.00\ &quot;kg&quot;"/>
    <numFmt numFmtId="208" formatCode="#,##0.0000\ &quot;kg/kg&quot;"/>
    <numFmt numFmtId="209" formatCode="#,##0.0000\ &quot;€/kg&quot;"/>
    <numFmt numFmtId="210" formatCode="#,##0.000\ &quot;€ estándar/kg&quot;"/>
    <numFmt numFmtId="211" formatCode="#,##0.00\ &quot;h&quot;"/>
    <numFmt numFmtId="212" formatCode="#,##0.00\ &quot;€/h&quot;"/>
    <numFmt numFmtId="213" formatCode="0.00\ &quot;h&quot;"/>
    <numFmt numFmtId="214" formatCode="#,##0.0000\ &quot;€/unidad&quot;"/>
    <numFmt numFmtId="215" formatCode="0.0000\ &quot;€/slim 1l.&quot;"/>
    <numFmt numFmtId="216" formatCode="#,##0.0\ &quot;kg&quot;"/>
    <numFmt numFmtId="217" formatCode="#,##0\ &quot;kg&quot;"/>
    <numFmt numFmtId="218" formatCode="#,##0.000\ &quot;€&quot;"/>
    <numFmt numFmtId="219" formatCode="#,##0.0000\ &quot;€&quot;"/>
    <numFmt numFmtId="220" formatCode="#,##0.000\ &quot;€ /kg&quot;"/>
    <numFmt numFmtId="221" formatCode="#,##0.0\ &quot;litros&quot;"/>
  </numFmts>
  <fonts count="5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b/>
      <sz val="16"/>
      <name val="Tahoma"/>
      <family val="2"/>
    </font>
    <font>
      <b/>
      <sz val="16"/>
      <color indexed="10"/>
      <name val="Tahoma"/>
      <family val="2"/>
    </font>
    <font>
      <b/>
      <sz val="16"/>
      <color indexed="1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2"/>
      <name val="Tahoma"/>
      <family val="2"/>
    </font>
    <font>
      <sz val="10"/>
      <color indexed="12"/>
      <name val="Arial"/>
      <family val="2"/>
    </font>
    <font>
      <b/>
      <sz val="11"/>
      <name val="Tahoma"/>
      <family val="2"/>
    </font>
    <font>
      <b/>
      <sz val="11"/>
      <color indexed="11"/>
      <name val="Tahoma"/>
      <family val="2"/>
    </font>
    <font>
      <b/>
      <sz val="11"/>
      <color indexed="10"/>
      <name val="Tahoma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4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3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32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168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167" fontId="0" fillId="0" borderId="17" xfId="0" applyNumberFormat="1" applyBorder="1" applyAlignment="1">
      <alignment/>
    </xf>
    <xf numFmtId="169" fontId="0" fillId="0" borderId="14" xfId="0" applyNumberFormat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0" fontId="2" fillId="33" borderId="19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2" fontId="0" fillId="0" borderId="14" xfId="0" applyNumberFormat="1" applyBorder="1" applyAlignment="1">
      <alignment/>
    </xf>
    <xf numFmtId="173" fontId="0" fillId="0" borderId="14" xfId="0" applyNumberFormat="1" applyBorder="1" applyAlignment="1">
      <alignment/>
    </xf>
    <xf numFmtId="174" fontId="0" fillId="0" borderId="14" xfId="0" applyNumberFormat="1" applyBorder="1" applyAlignment="1">
      <alignment/>
    </xf>
    <xf numFmtId="175" fontId="0" fillId="0" borderId="14" xfId="0" applyNumberFormat="1" applyBorder="1" applyAlignment="1">
      <alignment/>
    </xf>
    <xf numFmtId="0" fontId="0" fillId="0" borderId="25" xfId="0" applyFill="1" applyBorder="1" applyAlignment="1">
      <alignment horizontal="left" vertical="center" wrapText="1"/>
    </xf>
    <xf numFmtId="0" fontId="0" fillId="35" borderId="0" xfId="0" applyFill="1" applyBorder="1" applyAlignment="1">
      <alignment/>
    </xf>
    <xf numFmtId="4" fontId="2" fillId="34" borderId="14" xfId="0" applyNumberFormat="1" applyFont="1" applyFill="1" applyBorder="1" applyAlignment="1">
      <alignment horizontal="center"/>
    </xf>
    <xf numFmtId="176" fontId="0" fillId="0" borderId="14" xfId="0" applyNumberFormat="1" applyBorder="1" applyAlignment="1">
      <alignment/>
    </xf>
    <xf numFmtId="177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6" xfId="0" applyBorder="1" applyAlignment="1">
      <alignment/>
    </xf>
    <xf numFmtId="0" fontId="2" fillId="33" borderId="27" xfId="0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" fillId="33" borderId="29" xfId="0" applyNumberFormat="1" applyFont="1" applyFill="1" applyBorder="1" applyAlignment="1">
      <alignment/>
    </xf>
    <xf numFmtId="0" fontId="0" fillId="0" borderId="30" xfId="0" applyFont="1" applyBorder="1" applyAlignment="1">
      <alignment wrapText="1"/>
    </xf>
    <xf numFmtId="4" fontId="0" fillId="35" borderId="16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2" fillId="0" borderId="3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2" xfId="0" applyBorder="1" applyAlignment="1">
      <alignment/>
    </xf>
    <xf numFmtId="3" fontId="2" fillId="0" borderId="33" xfId="0" applyNumberFormat="1" applyFont="1" applyBorder="1" applyAlignment="1">
      <alignment/>
    </xf>
    <xf numFmtId="4" fontId="0" fillId="0" borderId="33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37" xfId="0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Border="1" applyAlignment="1">
      <alignment/>
    </xf>
    <xf numFmtId="3" fontId="0" fillId="0" borderId="24" xfId="0" applyNumberFormat="1" applyBorder="1" applyAlignment="1">
      <alignment/>
    </xf>
    <xf numFmtId="4" fontId="0" fillId="0" borderId="24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40" xfId="0" applyNumberFormat="1" applyFill="1" applyBorder="1" applyAlignment="1">
      <alignment/>
    </xf>
    <xf numFmtId="180" fontId="0" fillId="0" borderId="33" xfId="0" applyNumberFormat="1" applyFill="1" applyBorder="1" applyAlignment="1">
      <alignment/>
    </xf>
    <xf numFmtId="181" fontId="0" fillId="0" borderId="10" xfId="0" applyNumberFormat="1" applyFill="1" applyBorder="1" applyAlignment="1">
      <alignment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3" fontId="0" fillId="0" borderId="15" xfId="0" applyNumberFormat="1" applyFill="1" applyBorder="1" applyAlignment="1">
      <alignment/>
    </xf>
    <xf numFmtId="184" fontId="0" fillId="0" borderId="15" xfId="0" applyNumberFormat="1" applyBorder="1" applyAlignment="1">
      <alignment/>
    </xf>
    <xf numFmtId="4" fontId="2" fillId="35" borderId="1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42" xfId="0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31" xfId="0" applyFont="1" applyFill="1" applyBorder="1" applyAlignment="1">
      <alignment/>
    </xf>
    <xf numFmtId="0" fontId="2" fillId="0" borderId="43" xfId="0" applyFont="1" applyBorder="1" applyAlignment="1">
      <alignment/>
    </xf>
    <xf numFmtId="0" fontId="0" fillId="0" borderId="16" xfId="0" applyFill="1" applyBorder="1" applyAlignment="1">
      <alignment/>
    </xf>
    <xf numFmtId="0" fontId="2" fillId="0" borderId="18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4" fontId="2" fillId="0" borderId="3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15" xfId="0" applyNumberForma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2" fillId="0" borderId="4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35" xfId="0" applyFont="1" applyFill="1" applyBorder="1" applyAlignment="1">
      <alignment/>
    </xf>
    <xf numFmtId="185" fontId="0" fillId="0" borderId="33" xfId="0" applyNumberFormat="1" applyFill="1" applyBorder="1" applyAlignment="1">
      <alignment/>
    </xf>
    <xf numFmtId="188" fontId="0" fillId="0" borderId="15" xfId="0" applyNumberFormat="1" applyFill="1" applyBorder="1" applyAlignment="1">
      <alignment/>
    </xf>
    <xf numFmtId="189" fontId="0" fillId="0" borderId="15" xfId="0" applyNumberForma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32" borderId="19" xfId="0" applyFill="1" applyBorder="1" applyAlignment="1">
      <alignment/>
    </xf>
    <xf numFmtId="0" fontId="2" fillId="0" borderId="46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164" fontId="0" fillId="0" borderId="10" xfId="0" applyNumberFormat="1" applyFill="1" applyBorder="1" applyAlignment="1">
      <alignment/>
    </xf>
    <xf numFmtId="4" fontId="0" fillId="32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33" borderId="46" xfId="0" applyFont="1" applyFill="1" applyBorder="1" applyAlignment="1">
      <alignment/>
    </xf>
    <xf numFmtId="164" fontId="0" fillId="0" borderId="15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4" fontId="0" fillId="32" borderId="16" xfId="0" applyNumberFormat="1" applyFill="1" applyBorder="1" applyAlignment="1">
      <alignment/>
    </xf>
    <xf numFmtId="4" fontId="0" fillId="32" borderId="14" xfId="0" applyNumberForma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191" fontId="0" fillId="0" borderId="0" xfId="0" applyNumberFormat="1" applyBorder="1" applyAlignment="1">
      <alignment/>
    </xf>
    <xf numFmtId="0" fontId="2" fillId="0" borderId="24" xfId="0" applyFont="1" applyBorder="1" applyAlignment="1">
      <alignment/>
    </xf>
    <xf numFmtId="0" fontId="0" fillId="0" borderId="41" xfId="0" applyBorder="1" applyAlignment="1">
      <alignment/>
    </xf>
    <xf numFmtId="0" fontId="2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166" fontId="0" fillId="0" borderId="44" xfId="0" applyNumberFormat="1" applyBorder="1" applyAlignment="1">
      <alignment/>
    </xf>
    <xf numFmtId="171" fontId="0" fillId="34" borderId="44" xfId="0" applyNumberFormat="1" applyFill="1" applyBorder="1" applyAlignment="1">
      <alignment/>
    </xf>
    <xf numFmtId="165" fontId="0" fillId="0" borderId="44" xfId="0" applyNumberFormat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3" borderId="43" xfId="0" applyFont="1" applyFill="1" applyBorder="1" applyAlignment="1">
      <alignment/>
    </xf>
    <xf numFmtId="0" fontId="2" fillId="3" borderId="10" xfId="0" applyFont="1" applyFill="1" applyBorder="1" applyAlignment="1">
      <alignment horizontal="left"/>
    </xf>
    <xf numFmtId="4" fontId="2" fillId="3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0" fontId="2" fillId="0" borderId="44" xfId="54" applyNumberFormat="1" applyFont="1" applyBorder="1" applyAlignment="1">
      <alignment/>
    </xf>
    <xf numFmtId="0" fontId="2" fillId="0" borderId="19" xfId="0" applyFont="1" applyBorder="1" applyAlignment="1">
      <alignment vertical="top" wrapText="1"/>
    </xf>
    <xf numFmtId="10" fontId="0" fillId="0" borderId="0" xfId="54" applyNumberFormat="1" applyAlignment="1">
      <alignment/>
    </xf>
    <xf numFmtId="4" fontId="6" fillId="0" borderId="27" xfId="0" applyNumberFormat="1" applyFont="1" applyFill="1" applyBorder="1" applyAlignment="1">
      <alignment horizontal="center" textRotation="180"/>
    </xf>
    <xf numFmtId="193" fontId="10" fillId="3" borderId="24" xfId="0" applyNumberFormat="1" applyFont="1" applyFill="1" applyBorder="1" applyAlignment="1">
      <alignment/>
    </xf>
    <xf numFmtId="4" fontId="2" fillId="3" borderId="10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horizontal="right" vertical="center" wrapText="1"/>
    </xf>
    <xf numFmtId="0" fontId="0" fillId="0" borderId="47" xfId="0" applyBorder="1" applyAlignment="1">
      <alignment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12" fillId="0" borderId="0" xfId="52" applyFont="1">
      <alignment/>
      <protection/>
    </xf>
    <xf numFmtId="3" fontId="0" fillId="0" borderId="0" xfId="52" applyNumberFormat="1">
      <alignment/>
      <protection/>
    </xf>
    <xf numFmtId="0" fontId="0" fillId="0" borderId="0" xfId="52" applyFont="1">
      <alignment/>
      <protection/>
    </xf>
    <xf numFmtId="193" fontId="0" fillId="0" borderId="0" xfId="52" applyNumberFormat="1" applyFont="1">
      <alignment/>
      <protection/>
    </xf>
    <xf numFmtId="0" fontId="0" fillId="0" borderId="35" xfId="0" applyFont="1" applyFill="1" applyBorder="1" applyAlignment="1">
      <alignment/>
    </xf>
    <xf numFmtId="4" fontId="0" fillId="0" borderId="40" xfId="0" applyNumberForma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8" xfId="0" applyBorder="1" applyAlignment="1">
      <alignment/>
    </xf>
    <xf numFmtId="4" fontId="0" fillId="0" borderId="37" xfId="0" applyNumberFormat="1" applyBorder="1" applyAlignment="1">
      <alignment/>
    </xf>
    <xf numFmtId="4" fontId="0" fillId="0" borderId="40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/>
    </xf>
    <xf numFmtId="0" fontId="11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02" fontId="14" fillId="0" borderId="24" xfId="0" applyNumberFormat="1" applyFont="1" applyBorder="1" applyAlignment="1">
      <alignment/>
    </xf>
    <xf numFmtId="202" fontId="0" fillId="0" borderId="10" xfId="0" applyNumberFormat="1" applyBorder="1" applyAlignment="1">
      <alignment/>
    </xf>
    <xf numFmtId="203" fontId="14" fillId="0" borderId="10" xfId="0" applyNumberFormat="1" applyFont="1" applyBorder="1" applyAlignment="1">
      <alignment/>
    </xf>
    <xf numFmtId="203" fontId="0" fillId="0" borderId="10" xfId="0" applyNumberFormat="1" applyBorder="1" applyAlignment="1">
      <alignment/>
    </xf>
    <xf numFmtId="204" fontId="2" fillId="0" borderId="10" xfId="0" applyNumberFormat="1" applyFont="1" applyBorder="1" applyAlignment="1">
      <alignment/>
    </xf>
    <xf numFmtId="205" fontId="14" fillId="0" borderId="10" xfId="0" applyNumberFormat="1" applyFont="1" applyBorder="1" applyAlignment="1">
      <alignment/>
    </xf>
    <xf numFmtId="205" fontId="2" fillId="0" borderId="10" xfId="0" applyNumberFormat="1" applyFont="1" applyBorder="1" applyAlignment="1">
      <alignment/>
    </xf>
    <xf numFmtId="206" fontId="14" fillId="0" borderId="10" xfId="0" applyNumberFormat="1" applyFont="1" applyBorder="1" applyAlignment="1">
      <alignment/>
    </xf>
    <xf numFmtId="206" fontId="0" fillId="0" borderId="10" xfId="0" applyNumberFormat="1" applyBorder="1" applyAlignment="1">
      <alignment/>
    </xf>
    <xf numFmtId="207" fontId="14" fillId="0" borderId="10" xfId="0" applyNumberFormat="1" applyFont="1" applyBorder="1" applyAlignment="1">
      <alignment/>
    </xf>
    <xf numFmtId="207" fontId="0" fillId="0" borderId="10" xfId="0" applyNumberFormat="1" applyBorder="1" applyAlignment="1">
      <alignment/>
    </xf>
    <xf numFmtId="207" fontId="2" fillId="0" borderId="10" xfId="0" applyNumberFormat="1" applyFont="1" applyBorder="1" applyAlignment="1">
      <alignment/>
    </xf>
    <xf numFmtId="208" fontId="14" fillId="0" borderId="10" xfId="0" applyNumberFormat="1" applyFont="1" applyBorder="1" applyAlignment="1">
      <alignment/>
    </xf>
    <xf numFmtId="208" fontId="0" fillId="0" borderId="10" xfId="0" applyNumberFormat="1" applyBorder="1" applyAlignment="1">
      <alignment/>
    </xf>
    <xf numFmtId="207" fontId="0" fillId="0" borderId="10" xfId="0" applyNumberFormat="1" applyFont="1" applyBorder="1" applyAlignment="1">
      <alignment/>
    </xf>
    <xf numFmtId="209" fontId="0" fillId="0" borderId="10" xfId="0" applyNumberFormat="1" applyBorder="1" applyAlignment="1">
      <alignment/>
    </xf>
    <xf numFmtId="193" fontId="0" fillId="0" borderId="10" xfId="0" applyNumberFormat="1" applyBorder="1" applyAlignment="1">
      <alignment/>
    </xf>
    <xf numFmtId="210" fontId="14" fillId="0" borderId="10" xfId="0" applyNumberFormat="1" applyFont="1" applyBorder="1" applyAlignment="1">
      <alignment/>
    </xf>
    <xf numFmtId="193" fontId="0" fillId="0" borderId="16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93" fontId="0" fillId="0" borderId="10" xfId="0" applyNumberFormat="1" applyFont="1" applyFill="1" applyBorder="1" applyAlignment="1">
      <alignment horizontal="right" vertical="center"/>
    </xf>
    <xf numFmtId="211" fontId="0" fillId="0" borderId="10" xfId="0" applyNumberFormat="1" applyBorder="1" applyAlignment="1">
      <alignment/>
    </xf>
    <xf numFmtId="212" fontId="0" fillId="0" borderId="10" xfId="0" applyNumberFormat="1" applyBorder="1" applyAlignment="1">
      <alignment/>
    </xf>
    <xf numFmtId="193" fontId="0" fillId="0" borderId="10" xfId="0" applyNumberFormat="1" applyBorder="1" applyAlignment="1">
      <alignment/>
    </xf>
    <xf numFmtId="193" fontId="0" fillId="0" borderId="0" xfId="0" applyNumberFormat="1" applyAlignment="1">
      <alignment/>
    </xf>
    <xf numFmtId="198" fontId="0" fillId="0" borderId="0" xfId="0" applyNumberFormat="1" applyAlignment="1">
      <alignment/>
    </xf>
    <xf numFmtId="2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9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213" fontId="0" fillId="0" borderId="10" xfId="0" applyNumberFormat="1" applyBorder="1" applyAlignment="1">
      <alignment/>
    </xf>
    <xf numFmtId="213" fontId="2" fillId="0" borderId="10" xfId="0" applyNumberFormat="1" applyFont="1" applyBorder="1" applyAlignment="1">
      <alignment/>
    </xf>
    <xf numFmtId="213" fontId="0" fillId="0" borderId="0" xfId="0" applyNumberFormat="1" applyAlignment="1">
      <alignment/>
    </xf>
    <xf numFmtId="0" fontId="0" fillId="0" borderId="50" xfId="0" applyBorder="1" applyAlignment="1">
      <alignment/>
    </xf>
    <xf numFmtId="213" fontId="0" fillId="0" borderId="15" xfId="0" applyNumberFormat="1" applyBorder="1" applyAlignment="1">
      <alignment/>
    </xf>
    <xf numFmtId="0" fontId="0" fillId="0" borderId="51" xfId="0" applyFill="1" applyBorder="1" applyAlignment="1">
      <alignment/>
    </xf>
    <xf numFmtId="213" fontId="0" fillId="0" borderId="51" xfId="0" applyNumberFormat="1" applyFont="1" applyBorder="1" applyAlignment="1">
      <alignment vertical="top" wrapText="1"/>
    </xf>
    <xf numFmtId="0" fontId="0" fillId="0" borderId="18" xfId="0" applyFill="1" applyBorder="1" applyAlignment="1">
      <alignment/>
    </xf>
    <xf numFmtId="2" fontId="0" fillId="0" borderId="44" xfId="0" applyNumberFormat="1" applyFont="1" applyBorder="1" applyAlignment="1">
      <alignment vertical="top" wrapText="1"/>
    </xf>
    <xf numFmtId="4" fontId="0" fillId="0" borderId="44" xfId="0" applyNumberFormat="1" applyFont="1" applyBorder="1" applyAlignment="1">
      <alignment vertical="top" wrapText="1"/>
    </xf>
    <xf numFmtId="21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vertical="top" wrapText="1"/>
    </xf>
    <xf numFmtId="213" fontId="2" fillId="0" borderId="0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Fill="1" applyBorder="1" applyAlignment="1">
      <alignment/>
    </xf>
    <xf numFmtId="207" fontId="0" fillId="0" borderId="19" xfId="0" applyNumberFormat="1" applyBorder="1" applyAlignment="1">
      <alignment/>
    </xf>
    <xf numFmtId="193" fontId="0" fillId="0" borderId="40" xfId="0" applyNumberFormat="1" applyBorder="1" applyAlignment="1">
      <alignment/>
    </xf>
    <xf numFmtId="193" fontId="0" fillId="0" borderId="53" xfId="0" applyNumberFormat="1" applyBorder="1" applyAlignment="1">
      <alignment/>
    </xf>
    <xf numFmtId="3" fontId="0" fillId="0" borderId="19" xfId="0" applyNumberFormat="1" applyBorder="1" applyAlignment="1">
      <alignment/>
    </xf>
    <xf numFmtId="214" fontId="0" fillId="0" borderId="10" xfId="0" applyNumberFormat="1" applyBorder="1" applyAlignment="1">
      <alignment/>
    </xf>
    <xf numFmtId="214" fontId="2" fillId="33" borderId="10" xfId="0" applyNumberFormat="1" applyFont="1" applyFill="1" applyBorder="1" applyAlignment="1">
      <alignment/>
    </xf>
    <xf numFmtId="0" fontId="11" fillId="0" borderId="0" xfId="0" applyFont="1" applyAlignment="1" quotePrefix="1">
      <alignment/>
    </xf>
    <xf numFmtId="4" fontId="18" fillId="3" borderId="10" xfId="0" applyNumberFormat="1" applyFont="1" applyFill="1" applyBorder="1" applyAlignment="1">
      <alignment/>
    </xf>
    <xf numFmtId="0" fontId="11" fillId="0" borderId="42" xfId="0" applyFont="1" applyBorder="1" applyAlignment="1">
      <alignment/>
    </xf>
    <xf numFmtId="0" fontId="11" fillId="0" borderId="52" xfId="0" applyFont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215" fontId="2" fillId="33" borderId="1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4" fontId="0" fillId="36" borderId="0" xfId="0" applyNumberFormat="1" applyFill="1" applyBorder="1" applyAlignment="1">
      <alignment/>
    </xf>
    <xf numFmtId="0" fontId="0" fillId="36" borderId="0" xfId="0" applyFill="1" applyAlignment="1">
      <alignment/>
    </xf>
    <xf numFmtId="4" fontId="0" fillId="36" borderId="0" xfId="0" applyNumberFormat="1" applyFill="1" applyAlignment="1">
      <alignment/>
    </xf>
    <xf numFmtId="0" fontId="0" fillId="37" borderId="0" xfId="0" applyFill="1" applyBorder="1" applyAlignment="1">
      <alignment/>
    </xf>
    <xf numFmtId="4" fontId="0" fillId="37" borderId="0" xfId="0" applyNumberFormat="1" applyFill="1" applyBorder="1" applyAlignment="1">
      <alignment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/>
    </xf>
    <xf numFmtId="4" fontId="0" fillId="38" borderId="0" xfId="0" applyNumberFormat="1" applyFill="1" applyAlignment="1">
      <alignment/>
    </xf>
    <xf numFmtId="0" fontId="0" fillId="39" borderId="0" xfId="0" applyFill="1" applyBorder="1" applyAlignment="1">
      <alignment/>
    </xf>
    <xf numFmtId="4" fontId="0" fillId="39" borderId="0" xfId="0" applyNumberFormat="1" applyFill="1" applyBorder="1" applyAlignment="1">
      <alignment/>
    </xf>
    <xf numFmtId="0" fontId="0" fillId="39" borderId="0" xfId="0" applyFill="1" applyAlignment="1">
      <alignment/>
    </xf>
    <xf numFmtId="4" fontId="0" fillId="39" borderId="0" xfId="0" applyNumberFormat="1" applyFill="1" applyAlignment="1">
      <alignment/>
    </xf>
    <xf numFmtId="4" fontId="0" fillId="40" borderId="46" xfId="0" applyNumberFormat="1" applyFill="1" applyBorder="1" applyAlignment="1">
      <alignment/>
    </xf>
    <xf numFmtId="4" fontId="0" fillId="40" borderId="0" xfId="0" applyNumberFormat="1" applyFill="1" applyAlignment="1">
      <alignment/>
    </xf>
    <xf numFmtId="193" fontId="0" fillId="41" borderId="46" xfId="52" applyNumberFormat="1" applyFont="1" applyFill="1" applyBorder="1">
      <alignment/>
      <protection/>
    </xf>
    <xf numFmtId="0" fontId="0" fillId="0" borderId="10" xfId="52" applyBorder="1">
      <alignment/>
      <protection/>
    </xf>
    <xf numFmtId="217" fontId="0" fillId="0" borderId="10" xfId="0" applyNumberFormat="1" applyFont="1" applyBorder="1" applyAlignment="1">
      <alignment/>
    </xf>
    <xf numFmtId="208" fontId="54" fillId="0" borderId="10" xfId="0" applyNumberFormat="1" applyFont="1" applyBorder="1" applyAlignment="1">
      <alignment/>
    </xf>
    <xf numFmtId="0" fontId="0" fillId="0" borderId="10" xfId="52" applyFont="1" applyBorder="1">
      <alignment/>
      <protection/>
    </xf>
    <xf numFmtId="220" fontId="14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206" fontId="55" fillId="0" borderId="10" xfId="0" applyNumberFormat="1" applyFont="1" applyBorder="1" applyAlignment="1">
      <alignment/>
    </xf>
    <xf numFmtId="0" fontId="0" fillId="42" borderId="10" xfId="0" applyFill="1" applyBorder="1" applyAlignment="1">
      <alignment horizontal="center"/>
    </xf>
    <xf numFmtId="0" fontId="0" fillId="43" borderId="24" xfId="0" applyFill="1" applyBorder="1" applyAlignment="1">
      <alignment horizontal="center"/>
    </xf>
    <xf numFmtId="0" fontId="0" fillId="43" borderId="1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11" fontId="0" fillId="0" borderId="10" xfId="0" applyNumberFormat="1" applyBorder="1" applyAlignment="1">
      <alignment horizontal="center"/>
    </xf>
    <xf numFmtId="0" fontId="2" fillId="0" borderId="24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4" fillId="43" borderId="41" xfId="0" applyFont="1" applyFill="1" applyBorder="1" applyAlignment="1" quotePrefix="1">
      <alignment horizontal="center"/>
    </xf>
    <xf numFmtId="0" fontId="4" fillId="43" borderId="54" xfId="0" applyFont="1" applyFill="1" applyBorder="1" applyAlignment="1" quotePrefix="1">
      <alignment horizontal="center"/>
    </xf>
    <xf numFmtId="0" fontId="4" fillId="43" borderId="26" xfId="0" applyFont="1" applyFill="1" applyBorder="1" applyAlignment="1" quotePrefix="1">
      <alignment horizontal="center"/>
    </xf>
    <xf numFmtId="0" fontId="4" fillId="43" borderId="55" xfId="0" applyFont="1" applyFill="1" applyBorder="1" applyAlignment="1" quotePrefix="1">
      <alignment horizontal="center"/>
    </xf>
    <xf numFmtId="4" fontId="6" fillId="0" borderId="56" xfId="0" applyNumberFormat="1" applyFont="1" applyFill="1" applyBorder="1" applyAlignment="1">
      <alignment horizontal="center" textRotation="180"/>
    </xf>
    <xf numFmtId="4" fontId="6" fillId="0" borderId="57" xfId="0" applyNumberFormat="1" applyFont="1" applyFill="1" applyBorder="1" applyAlignment="1">
      <alignment horizontal="center" textRotation="180"/>
    </xf>
    <xf numFmtId="0" fontId="1" fillId="0" borderId="10" xfId="0" applyFont="1" applyBorder="1" applyAlignment="1">
      <alignment horizontal="center"/>
    </xf>
    <xf numFmtId="0" fontId="0" fillId="0" borderId="19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4" fontId="0" fillId="0" borderId="51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Zumolit, SA_desviaciones costes estándar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" width="28.00390625" style="0" customWidth="1"/>
    <col min="2" max="2" width="17.28125" style="0" customWidth="1"/>
    <col min="3" max="3" width="18.421875" style="0" customWidth="1"/>
    <col min="4" max="4" width="11.140625" style="0" bestFit="1" customWidth="1"/>
    <col min="5" max="5" width="14.00390625" style="0" bestFit="1" customWidth="1"/>
    <col min="6" max="6" width="18.8515625" style="0" bestFit="1" customWidth="1"/>
  </cols>
  <sheetData>
    <row r="1" ht="15.75">
      <c r="A1" s="192" t="s">
        <v>271</v>
      </c>
    </row>
    <row r="2" spans="1:3" ht="15.75">
      <c r="A2" s="251" t="s">
        <v>336</v>
      </c>
      <c r="B2" s="280" t="s">
        <v>275</v>
      </c>
      <c r="C2" s="280"/>
    </row>
    <row r="3" spans="1:3" ht="15.75">
      <c r="A3" s="253" t="s">
        <v>453</v>
      </c>
      <c r="B3" s="193" t="s">
        <v>279</v>
      </c>
      <c r="C3" s="194" t="s">
        <v>280</v>
      </c>
    </row>
    <row r="4" spans="1:3" ht="12.75">
      <c r="A4" s="6" t="s">
        <v>281</v>
      </c>
      <c r="B4" s="195"/>
      <c r="C4" s="196">
        <v>20</v>
      </c>
    </row>
    <row r="5" spans="1:3" ht="12.75">
      <c r="A5" s="6" t="s">
        <v>282</v>
      </c>
      <c r="B5" s="197">
        <v>24000</v>
      </c>
      <c r="C5" s="198">
        <f>+C8/C4</f>
        <v>23577</v>
      </c>
    </row>
    <row r="6" spans="1:4" ht="12.75">
      <c r="A6" s="6" t="s">
        <v>283</v>
      </c>
      <c r="B6" s="197"/>
      <c r="C6" s="199">
        <v>348420</v>
      </c>
      <c r="D6" t="s">
        <v>284</v>
      </c>
    </row>
    <row r="7" spans="1:4" ht="12.75">
      <c r="A7" s="6" t="s">
        <v>285</v>
      </c>
      <c r="B7" s="197"/>
      <c r="C7" s="199">
        <v>615600</v>
      </c>
      <c r="D7" t="s">
        <v>284</v>
      </c>
    </row>
    <row r="8" spans="1:4" ht="12.75">
      <c r="A8" s="6" t="s">
        <v>286</v>
      </c>
      <c r="B8" s="200">
        <f>+C4*B5</f>
        <v>480000</v>
      </c>
      <c r="C8" s="201">
        <v>471540</v>
      </c>
      <c r="D8" t="s">
        <v>284</v>
      </c>
    </row>
    <row r="9" spans="1:3" ht="12.75">
      <c r="A9" s="6" t="s">
        <v>287</v>
      </c>
      <c r="B9" s="202">
        <v>2.2</v>
      </c>
      <c r="C9" s="203">
        <f>+C10/C8</f>
        <v>2.5325953259532596</v>
      </c>
    </row>
    <row r="10" spans="1:3" ht="12.75">
      <c r="A10" s="6" t="s">
        <v>288</v>
      </c>
      <c r="B10" s="204">
        <f>+B8*B9</f>
        <v>1056000</v>
      </c>
      <c r="C10" s="205">
        <f>+C13-C11</f>
        <v>1194220</v>
      </c>
    </row>
    <row r="11" spans="1:4" ht="12.75">
      <c r="A11" s="6" t="s">
        <v>289</v>
      </c>
      <c r="B11" s="204">
        <f>+B13*B12</f>
        <v>73411.76470588235</v>
      </c>
      <c r="C11" s="206">
        <v>121180</v>
      </c>
      <c r="D11" t="s">
        <v>284</v>
      </c>
    </row>
    <row r="12" spans="1:3" ht="12.75">
      <c r="A12" s="6" t="s">
        <v>290</v>
      </c>
      <c r="B12" s="207">
        <f>0.65/10</f>
        <v>0.065</v>
      </c>
      <c r="C12" s="208">
        <f>+C11/C13</f>
        <v>0.09212406872434241</v>
      </c>
    </row>
    <row r="13" spans="1:5" ht="12.75">
      <c r="A13" s="6" t="s">
        <v>291</v>
      </c>
      <c r="B13" s="204">
        <f>B10/(1-B12)</f>
        <v>1129411.7647058822</v>
      </c>
      <c r="C13" s="209">
        <f>+C14+C15-C16</f>
        <v>1315400</v>
      </c>
      <c r="D13" s="194" t="s">
        <v>292</v>
      </c>
      <c r="E13" s="194" t="s">
        <v>293</v>
      </c>
    </row>
    <row r="14" spans="1:5" ht="12.75">
      <c r="A14" s="7" t="s">
        <v>294</v>
      </c>
      <c r="B14" s="205"/>
      <c r="C14" s="206">
        <v>57800</v>
      </c>
      <c r="D14" s="210">
        <v>0.26</v>
      </c>
      <c r="E14" s="211">
        <f>+C14*D14</f>
        <v>15028</v>
      </c>
    </row>
    <row r="15" spans="1:5" ht="12.75">
      <c r="A15" s="7" t="s">
        <v>295</v>
      </c>
      <c r="B15" s="212">
        <v>0.255</v>
      </c>
      <c r="C15" s="206">
        <v>1325400</v>
      </c>
      <c r="D15" s="210">
        <v>0.265</v>
      </c>
      <c r="E15" s="211">
        <f>+C15*D15</f>
        <v>351231</v>
      </c>
    </row>
    <row r="16" spans="1:5" ht="12.75">
      <c r="A16" s="7" t="s">
        <v>296</v>
      </c>
      <c r="B16" s="205"/>
      <c r="C16" s="206">
        <v>67800</v>
      </c>
      <c r="D16" s="210">
        <f>(E14+E15)/(C14+C15)</f>
        <v>0.2647910641989589</v>
      </c>
      <c r="E16" s="213">
        <f>+C16*D16</f>
        <v>17952.834152689415</v>
      </c>
    </row>
    <row r="17" spans="5:6" ht="12.75">
      <c r="E17" s="211">
        <f>+E14-E16</f>
        <v>-2924.8341526894146</v>
      </c>
      <c r="F17" s="6" t="s">
        <v>297</v>
      </c>
    </row>
    <row r="18" spans="2:3" ht="12.75">
      <c r="B18" s="281" t="s">
        <v>276</v>
      </c>
      <c r="C18" s="282"/>
    </row>
    <row r="19" spans="2:3" ht="12.75">
      <c r="B19" s="193" t="s">
        <v>279</v>
      </c>
      <c r="C19" s="194" t="s">
        <v>280</v>
      </c>
    </row>
    <row r="20" spans="1:3" ht="12.75">
      <c r="A20" s="6" t="s">
        <v>281</v>
      </c>
      <c r="B20" s="195"/>
      <c r="C20" s="196">
        <v>4</v>
      </c>
    </row>
    <row r="21" spans="1:3" ht="12.75">
      <c r="A21" s="6" t="s">
        <v>282</v>
      </c>
      <c r="B21" s="197">
        <v>24000</v>
      </c>
      <c r="C21" s="198">
        <f>+C24/C20</f>
        <v>22974</v>
      </c>
    </row>
    <row r="22" spans="1:4" ht="12.75">
      <c r="A22" s="6" t="s">
        <v>283</v>
      </c>
      <c r="B22" s="197"/>
      <c r="C22" s="199">
        <v>67620</v>
      </c>
      <c r="D22" t="s">
        <v>284</v>
      </c>
    </row>
    <row r="23" spans="1:4" ht="12.75">
      <c r="A23" s="6" t="s">
        <v>285</v>
      </c>
      <c r="B23" s="197"/>
      <c r="C23" s="199">
        <v>121380</v>
      </c>
      <c r="D23" t="s">
        <v>284</v>
      </c>
    </row>
    <row r="24" spans="1:4" ht="12.75">
      <c r="A24" s="6" t="s">
        <v>286</v>
      </c>
      <c r="B24" s="200">
        <f>+C20*B21</f>
        <v>96000</v>
      </c>
      <c r="C24" s="201">
        <v>91896</v>
      </c>
      <c r="D24" t="s">
        <v>284</v>
      </c>
    </row>
    <row r="25" spans="1:3" ht="12.75">
      <c r="A25" s="6" t="s">
        <v>287</v>
      </c>
      <c r="B25" s="202">
        <v>1.9</v>
      </c>
      <c r="C25" s="203">
        <f>+C26/C24</f>
        <v>2.043951858622791</v>
      </c>
    </row>
    <row r="26" spans="1:3" ht="12.75">
      <c r="A26" s="6" t="s">
        <v>288</v>
      </c>
      <c r="B26" s="204">
        <f>+B24*B25</f>
        <v>182400</v>
      </c>
      <c r="C26" s="205">
        <f>+C29-C27</f>
        <v>187831</v>
      </c>
    </row>
    <row r="27" spans="1:4" ht="12.75">
      <c r="A27" s="6" t="s">
        <v>289</v>
      </c>
      <c r="B27" s="204">
        <f>+B29*B28</f>
        <v>17380.94194961665</v>
      </c>
      <c r="C27" s="206">
        <v>26189</v>
      </c>
      <c r="D27" t="s">
        <v>284</v>
      </c>
    </row>
    <row r="28" spans="1:3" ht="12.75">
      <c r="A28" s="6" t="s">
        <v>290</v>
      </c>
      <c r="B28" s="207">
        <f>0.87/10</f>
        <v>0.087</v>
      </c>
      <c r="C28" s="208">
        <f>+C27/C29</f>
        <v>0.12236706849827118</v>
      </c>
    </row>
    <row r="29" spans="1:5" ht="12.75">
      <c r="A29" s="6" t="s">
        <v>291</v>
      </c>
      <c r="B29" s="204">
        <f>B26/(1-B28)</f>
        <v>199780.94194961665</v>
      </c>
      <c r="C29" s="205">
        <f>+C30+C31-C32</f>
        <v>214020</v>
      </c>
      <c r="D29" s="194" t="s">
        <v>292</v>
      </c>
      <c r="E29" s="194" t="s">
        <v>293</v>
      </c>
    </row>
    <row r="30" spans="1:5" ht="12.75">
      <c r="A30" s="7" t="s">
        <v>294</v>
      </c>
      <c r="B30" s="205"/>
      <c r="C30" s="206">
        <v>43800</v>
      </c>
      <c r="D30" s="210">
        <v>0.36</v>
      </c>
      <c r="E30" s="211">
        <f>+C30*D30</f>
        <v>15768</v>
      </c>
    </row>
    <row r="31" spans="1:5" ht="12.75">
      <c r="A31" s="7" t="s">
        <v>295</v>
      </c>
      <c r="B31" s="212">
        <v>0.38</v>
      </c>
      <c r="C31" s="206">
        <v>228700</v>
      </c>
      <c r="D31" s="210">
        <v>0.37</v>
      </c>
      <c r="E31" s="211">
        <f>+C31*D31</f>
        <v>84619</v>
      </c>
    </row>
    <row r="32" spans="1:5" ht="12.75">
      <c r="A32" s="7" t="s">
        <v>296</v>
      </c>
      <c r="B32" s="205"/>
      <c r="C32" s="206">
        <v>58480</v>
      </c>
      <c r="D32" s="210">
        <f>(E30+E31)/(C30+C31)</f>
        <v>0.3683926605504587</v>
      </c>
      <c r="E32" s="211">
        <f>+C32*D32</f>
        <v>21543.602788990826</v>
      </c>
    </row>
    <row r="33" spans="5:6" ht="12.75">
      <c r="E33" s="211">
        <f>+E30-E32</f>
        <v>-5775.6027889908255</v>
      </c>
      <c r="F33" s="6" t="s">
        <v>297</v>
      </c>
    </row>
  </sheetData>
  <sheetProtection/>
  <mergeCells count="2">
    <mergeCell ref="B2:C2"/>
    <mergeCell ref="B18:C18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="85" zoomScaleNormal="85" zoomScalePageLayoutView="0" workbookViewId="0" topLeftCell="A1">
      <selection activeCell="F26" sqref="F26"/>
    </sheetView>
  </sheetViews>
  <sheetFormatPr defaultColWidth="11.421875" defaultRowHeight="12.75"/>
  <cols>
    <col min="1" max="1" width="13.57421875" style="0" customWidth="1"/>
    <col min="2" max="2" width="23.8515625" style="0" customWidth="1"/>
    <col min="3" max="3" width="11.57421875" style="3" customWidth="1"/>
    <col min="4" max="7" width="13.140625" style="0" customWidth="1"/>
    <col min="8" max="8" width="13.140625" style="5" customWidth="1"/>
    <col min="9" max="12" width="13.140625" style="0" customWidth="1"/>
  </cols>
  <sheetData>
    <row r="1" spans="1:13" ht="53.25" customHeight="1">
      <c r="A1" s="330" t="s">
        <v>338</v>
      </c>
      <c r="B1" s="331"/>
      <c r="C1" s="12" t="s">
        <v>17</v>
      </c>
      <c r="D1" s="162" t="s">
        <v>184</v>
      </c>
      <c r="E1" s="162" t="s">
        <v>185</v>
      </c>
      <c r="F1" s="162" t="s">
        <v>205</v>
      </c>
      <c r="G1" s="162" t="s">
        <v>186</v>
      </c>
      <c r="H1" s="162" t="s">
        <v>204</v>
      </c>
      <c r="I1" s="162" t="s">
        <v>197</v>
      </c>
      <c r="J1" s="162" t="s">
        <v>203</v>
      </c>
      <c r="K1" s="162" t="s">
        <v>187</v>
      </c>
      <c r="L1" s="162" t="s">
        <v>201</v>
      </c>
      <c r="M1" s="162" t="s">
        <v>263</v>
      </c>
    </row>
    <row r="2" spans="1:13" ht="12.75">
      <c r="A2" s="318" t="s">
        <v>246</v>
      </c>
      <c r="B2" s="107" t="s">
        <v>102</v>
      </c>
      <c r="C2" s="12">
        <f>'prod term'!$B$8</f>
        <v>326100</v>
      </c>
      <c r="D2" s="10">
        <v>31122</v>
      </c>
      <c r="E2" s="10">
        <v>33726</v>
      </c>
      <c r="F2" s="10">
        <v>34122</v>
      </c>
      <c r="G2" s="10">
        <v>31002</v>
      </c>
      <c r="H2" s="10">
        <v>51636</v>
      </c>
      <c r="I2" s="10">
        <v>31122</v>
      </c>
      <c r="J2" s="10">
        <v>11124</v>
      </c>
      <c r="K2" s="10">
        <v>71124</v>
      </c>
      <c r="L2" s="10">
        <v>31122</v>
      </c>
      <c r="M2" s="1"/>
    </row>
    <row r="3" spans="1:13" ht="12.75">
      <c r="A3" s="318"/>
      <c r="B3" s="107" t="s">
        <v>103</v>
      </c>
      <c r="C3" s="12">
        <f>+'prod term'!$E$8</f>
        <v>612888</v>
      </c>
      <c r="D3" s="1">
        <v>72408</v>
      </c>
      <c r="E3" s="1">
        <v>66792</v>
      </c>
      <c r="F3" s="1">
        <v>47808</v>
      </c>
      <c r="G3" s="1">
        <v>45600</v>
      </c>
      <c r="H3" s="10">
        <v>128496</v>
      </c>
      <c r="I3" s="1">
        <v>64788</v>
      </c>
      <c r="J3" s="1">
        <v>48696</v>
      </c>
      <c r="K3" s="1">
        <v>82500</v>
      </c>
      <c r="L3" s="1">
        <v>55800</v>
      </c>
      <c r="M3" s="1"/>
    </row>
    <row r="4" spans="1:13" ht="12.75">
      <c r="A4" s="318"/>
      <c r="B4" s="107" t="s">
        <v>104</v>
      </c>
      <c r="C4" s="12">
        <f>+'prod term'!$H$8</f>
        <v>64332</v>
      </c>
      <c r="D4" s="6">
        <v>5160</v>
      </c>
      <c r="E4" s="6">
        <v>7650</v>
      </c>
      <c r="F4" s="6">
        <v>6732</v>
      </c>
      <c r="G4" s="6">
        <v>4116</v>
      </c>
      <c r="H4" s="6">
        <v>12186</v>
      </c>
      <c r="I4" s="6">
        <v>6138</v>
      </c>
      <c r="J4" s="6">
        <v>2196</v>
      </c>
      <c r="K4" s="6">
        <v>14016</v>
      </c>
      <c r="L4" s="6">
        <v>6138</v>
      </c>
      <c r="M4" s="1"/>
    </row>
    <row r="5" spans="1:13" ht="12.75">
      <c r="A5" s="318"/>
      <c r="B5" s="107" t="s">
        <v>105</v>
      </c>
      <c r="C5" s="12">
        <f>+'prod term'!$K$8</f>
        <v>121860</v>
      </c>
      <c r="D5" s="6">
        <v>11640</v>
      </c>
      <c r="E5" s="6">
        <v>6600</v>
      </c>
      <c r="F5" s="6">
        <v>18744</v>
      </c>
      <c r="G5" s="6">
        <v>6576</v>
      </c>
      <c r="H5" s="6">
        <v>24300</v>
      </c>
      <c r="I5" s="6">
        <v>16632</v>
      </c>
      <c r="J5" s="6">
        <v>4188</v>
      </c>
      <c r="K5" s="6">
        <v>21564</v>
      </c>
      <c r="L5" s="6">
        <v>11616</v>
      </c>
      <c r="M5" s="1"/>
    </row>
    <row r="6" spans="1:13" ht="12.75">
      <c r="A6" s="318" t="s">
        <v>249</v>
      </c>
      <c r="B6" s="107" t="s">
        <v>102</v>
      </c>
      <c r="C6" s="12">
        <f>SUM(D6:L6)</f>
        <v>54350</v>
      </c>
      <c r="D6" s="10">
        <f>+D2/6</f>
        <v>5187</v>
      </c>
      <c r="E6" s="10">
        <f aca="true" t="shared" si="0" ref="E6:L6">+E2/6</f>
        <v>5621</v>
      </c>
      <c r="F6" s="10">
        <f t="shared" si="0"/>
        <v>5687</v>
      </c>
      <c r="G6" s="10">
        <f t="shared" si="0"/>
        <v>5167</v>
      </c>
      <c r="H6" s="10">
        <f t="shared" si="0"/>
        <v>8606</v>
      </c>
      <c r="I6" s="10">
        <f t="shared" si="0"/>
        <v>5187</v>
      </c>
      <c r="J6" s="10">
        <f t="shared" si="0"/>
        <v>1854</v>
      </c>
      <c r="K6" s="10">
        <f t="shared" si="0"/>
        <v>11854</v>
      </c>
      <c r="L6" s="10">
        <f t="shared" si="0"/>
        <v>5187</v>
      </c>
      <c r="M6" s="1"/>
    </row>
    <row r="7" spans="1:13" ht="12.75">
      <c r="A7" s="318"/>
      <c r="B7" s="107" t="s">
        <v>103</v>
      </c>
      <c r="C7" s="12">
        <f>SUM(D7:L7)</f>
        <v>51074</v>
      </c>
      <c r="D7" s="1">
        <f aca="true" t="shared" si="1" ref="D7:L7">+D3/12</f>
        <v>6034</v>
      </c>
      <c r="E7" s="1">
        <f t="shared" si="1"/>
        <v>5566</v>
      </c>
      <c r="F7" s="1">
        <f t="shared" si="1"/>
        <v>3984</v>
      </c>
      <c r="G7" s="1">
        <f t="shared" si="1"/>
        <v>3800</v>
      </c>
      <c r="H7" s="10">
        <f t="shared" si="1"/>
        <v>10708</v>
      </c>
      <c r="I7" s="1">
        <f t="shared" si="1"/>
        <v>5399</v>
      </c>
      <c r="J7" s="1">
        <f t="shared" si="1"/>
        <v>4058</v>
      </c>
      <c r="K7" s="1">
        <f t="shared" si="1"/>
        <v>6875</v>
      </c>
      <c r="L7" s="1">
        <f t="shared" si="1"/>
        <v>4650</v>
      </c>
      <c r="M7" s="1"/>
    </row>
    <row r="8" spans="1:13" ht="12.75">
      <c r="A8" s="318"/>
      <c r="B8" s="107" t="s">
        <v>104</v>
      </c>
      <c r="C8" s="12">
        <f>SUM(D8:L8)</f>
        <v>10722</v>
      </c>
      <c r="D8" s="1">
        <f aca="true" t="shared" si="2" ref="D8:L8">+D4/6</f>
        <v>860</v>
      </c>
      <c r="E8" s="1">
        <f t="shared" si="2"/>
        <v>1275</v>
      </c>
      <c r="F8" s="1">
        <f t="shared" si="2"/>
        <v>1122</v>
      </c>
      <c r="G8" s="1">
        <f t="shared" si="2"/>
        <v>686</v>
      </c>
      <c r="H8" s="10">
        <f t="shared" si="2"/>
        <v>2031</v>
      </c>
      <c r="I8" s="1">
        <f t="shared" si="2"/>
        <v>1023</v>
      </c>
      <c r="J8" s="1">
        <f t="shared" si="2"/>
        <v>366</v>
      </c>
      <c r="K8" s="1">
        <f t="shared" si="2"/>
        <v>2336</v>
      </c>
      <c r="L8" s="1">
        <f t="shared" si="2"/>
        <v>1023</v>
      </c>
      <c r="M8" s="1"/>
    </row>
    <row r="9" spans="1:13" ht="12.75">
      <c r="A9" s="318"/>
      <c r="B9" s="107" t="s">
        <v>105</v>
      </c>
      <c r="C9" s="12">
        <f>SUM(D9:L9)</f>
        <v>10155</v>
      </c>
      <c r="D9" s="1">
        <f aca="true" t="shared" si="3" ref="D9:L9">+D5/12</f>
        <v>970</v>
      </c>
      <c r="E9" s="1">
        <f t="shared" si="3"/>
        <v>550</v>
      </c>
      <c r="F9" s="1">
        <f t="shared" si="3"/>
        <v>1562</v>
      </c>
      <c r="G9" s="1">
        <f t="shared" si="3"/>
        <v>548</v>
      </c>
      <c r="H9" s="1">
        <f t="shared" si="3"/>
        <v>2025</v>
      </c>
      <c r="I9" s="1">
        <f t="shared" si="3"/>
        <v>1386</v>
      </c>
      <c r="J9" s="1">
        <f t="shared" si="3"/>
        <v>349</v>
      </c>
      <c r="K9" s="1">
        <f t="shared" si="3"/>
        <v>1797</v>
      </c>
      <c r="L9" s="1">
        <f t="shared" si="3"/>
        <v>968</v>
      </c>
      <c r="M9" s="1"/>
    </row>
    <row r="10" spans="1:13" ht="13.5" thickBot="1">
      <c r="A10" s="334" t="s">
        <v>253</v>
      </c>
      <c r="B10" s="335"/>
      <c r="C10" s="77">
        <f>SUM(D10:L10)</f>
        <v>144.8932239057239</v>
      </c>
      <c r="D10" s="90">
        <f>(D6+D8)/864+(D7+D9)/880</f>
        <v>14.957933501683502</v>
      </c>
      <c r="E10" s="90">
        <f aca="true" t="shared" si="4" ref="E10:L10">(E6+E8)/864+(E7+E9)/880</f>
        <v>14.931481481481482</v>
      </c>
      <c r="F10" s="90">
        <f t="shared" si="4"/>
        <v>14.183059764309764</v>
      </c>
      <c r="G10" s="90">
        <f t="shared" si="4"/>
        <v>11.715214646464645</v>
      </c>
      <c r="H10" s="90">
        <f t="shared" si="4"/>
        <v>26.780660774410777</v>
      </c>
      <c r="I10" s="90">
        <f t="shared" si="4"/>
        <v>14.897727272727273</v>
      </c>
      <c r="J10" s="90">
        <f t="shared" si="4"/>
        <v>7.57739898989899</v>
      </c>
      <c r="K10" s="90">
        <f t="shared" si="4"/>
        <v>26.278156565656566</v>
      </c>
      <c r="L10" s="90">
        <f t="shared" si="4"/>
        <v>13.571590909090908</v>
      </c>
      <c r="M10" s="90"/>
    </row>
    <row r="11" spans="1:13" ht="12.75">
      <c r="A11" s="319" t="s">
        <v>247</v>
      </c>
      <c r="B11" s="109" t="s">
        <v>102</v>
      </c>
      <c r="C11" s="134">
        <f>+C15/C2</f>
        <v>1.011838086476541</v>
      </c>
      <c r="D11" s="141">
        <v>1.02</v>
      </c>
      <c r="E11" s="141">
        <v>1.02</v>
      </c>
      <c r="F11" s="141">
        <v>1.04</v>
      </c>
      <c r="G11" s="141">
        <v>1.02</v>
      </c>
      <c r="H11" s="141">
        <v>1</v>
      </c>
      <c r="I11" s="141">
        <v>1.02</v>
      </c>
      <c r="J11" s="141">
        <v>1.02</v>
      </c>
      <c r="K11" s="141">
        <v>0.97</v>
      </c>
      <c r="L11" s="141">
        <v>1.06</v>
      </c>
      <c r="M11" s="142"/>
    </row>
    <row r="12" spans="1:13" ht="12.75">
      <c r="A12" s="320"/>
      <c r="B12" s="107" t="s">
        <v>103</v>
      </c>
      <c r="C12" s="29">
        <f>+C16/C3</f>
        <v>0.35925598151701454</v>
      </c>
      <c r="D12" s="57">
        <v>0.38</v>
      </c>
      <c r="E12" s="57">
        <v>0.36</v>
      </c>
      <c r="F12" s="57">
        <v>0.38</v>
      </c>
      <c r="G12" s="57">
        <v>0.37</v>
      </c>
      <c r="H12" s="57">
        <v>0.38</v>
      </c>
      <c r="I12" s="57">
        <v>0.38</v>
      </c>
      <c r="J12" s="57">
        <v>0.36</v>
      </c>
      <c r="K12" s="57">
        <v>0.3</v>
      </c>
      <c r="L12" s="57">
        <v>0.32</v>
      </c>
      <c r="M12" s="136"/>
    </row>
    <row r="13" spans="1:13" ht="12.75">
      <c r="A13" s="320"/>
      <c r="B13" s="107" t="s">
        <v>104</v>
      </c>
      <c r="C13" s="29">
        <f>+C17/C4</f>
        <v>1.0603656034321955</v>
      </c>
      <c r="D13" s="57">
        <v>1.05</v>
      </c>
      <c r="E13" s="57">
        <v>1.01</v>
      </c>
      <c r="F13" s="57">
        <v>1.03</v>
      </c>
      <c r="G13" s="57">
        <v>0.98</v>
      </c>
      <c r="H13" s="57">
        <v>1.18</v>
      </c>
      <c r="I13" s="57">
        <v>1.08</v>
      </c>
      <c r="J13" s="57">
        <v>1</v>
      </c>
      <c r="K13" s="57">
        <v>1.04</v>
      </c>
      <c r="L13" s="57">
        <v>1.03</v>
      </c>
      <c r="M13" s="136"/>
    </row>
    <row r="14" spans="1:13" ht="13.5" thickBot="1">
      <c r="A14" s="321"/>
      <c r="B14" s="111" t="s">
        <v>105</v>
      </c>
      <c r="C14" s="113">
        <f>+C18/C5</f>
        <v>0.39753618906942395</v>
      </c>
      <c r="D14" s="114">
        <v>0.4</v>
      </c>
      <c r="E14" s="114">
        <v>0.42</v>
      </c>
      <c r="F14" s="114">
        <v>0.44</v>
      </c>
      <c r="G14" s="114">
        <v>0.34</v>
      </c>
      <c r="H14" s="115">
        <v>0.37</v>
      </c>
      <c r="I14" s="114">
        <v>0.38</v>
      </c>
      <c r="J14" s="114">
        <v>0.41</v>
      </c>
      <c r="K14" s="114">
        <v>0.4</v>
      </c>
      <c r="L14" s="114">
        <v>0.42</v>
      </c>
      <c r="M14" s="140"/>
    </row>
    <row r="15" spans="1:13" ht="12.75">
      <c r="A15" s="322" t="s">
        <v>248</v>
      </c>
      <c r="B15" s="109" t="s">
        <v>102</v>
      </c>
      <c r="C15" s="134">
        <f aca="true" t="shared" si="5" ref="C15:C33">SUM(D15:L15)</f>
        <v>329960.4</v>
      </c>
      <c r="D15" s="28">
        <f>+D2*D11</f>
        <v>31744.440000000002</v>
      </c>
      <c r="E15" s="28">
        <f aca="true" t="shared" si="6" ref="E15:L15">+E2*E11</f>
        <v>34400.520000000004</v>
      </c>
      <c r="F15" s="28">
        <f t="shared" si="6"/>
        <v>35486.880000000005</v>
      </c>
      <c r="G15" s="28">
        <f t="shared" si="6"/>
        <v>31622.04</v>
      </c>
      <c r="H15" s="66">
        <f t="shared" si="6"/>
        <v>51636</v>
      </c>
      <c r="I15" s="28">
        <f t="shared" si="6"/>
        <v>31744.440000000002</v>
      </c>
      <c r="J15" s="28">
        <f t="shared" si="6"/>
        <v>11346.48</v>
      </c>
      <c r="K15" s="28">
        <f t="shared" si="6"/>
        <v>68990.28</v>
      </c>
      <c r="L15" s="28">
        <f t="shared" si="6"/>
        <v>32989.32</v>
      </c>
      <c r="M15" s="33"/>
    </row>
    <row r="16" spans="1:13" ht="12.75">
      <c r="A16" s="320"/>
      <c r="B16" s="107" t="s">
        <v>103</v>
      </c>
      <c r="C16" s="29">
        <f t="shared" si="5"/>
        <v>220183.68000000002</v>
      </c>
      <c r="D16" s="8">
        <f>+D3*D12</f>
        <v>27515.04</v>
      </c>
      <c r="E16" s="8">
        <f aca="true" t="shared" si="7" ref="E16:L17">+E3*E12</f>
        <v>24045.12</v>
      </c>
      <c r="F16" s="8">
        <f t="shared" si="7"/>
        <v>18167.04</v>
      </c>
      <c r="G16" s="8">
        <f t="shared" si="7"/>
        <v>16872</v>
      </c>
      <c r="H16" s="30">
        <f t="shared" si="7"/>
        <v>48828.48</v>
      </c>
      <c r="I16" s="8">
        <f t="shared" si="7"/>
        <v>24619.44</v>
      </c>
      <c r="J16" s="8">
        <f t="shared" si="7"/>
        <v>17530.559999999998</v>
      </c>
      <c r="K16" s="8">
        <f t="shared" si="7"/>
        <v>24750</v>
      </c>
      <c r="L16" s="8">
        <f t="shared" si="7"/>
        <v>17856</v>
      </c>
      <c r="M16" s="6"/>
    </row>
    <row r="17" spans="1:13" ht="12.75">
      <c r="A17" s="320"/>
      <c r="B17" s="107" t="s">
        <v>104</v>
      </c>
      <c r="C17" s="29">
        <f t="shared" si="5"/>
        <v>68215.44</v>
      </c>
      <c r="D17" s="8">
        <f>+D4*D13</f>
        <v>5418</v>
      </c>
      <c r="E17" s="8">
        <f t="shared" si="7"/>
        <v>7726.5</v>
      </c>
      <c r="F17" s="8">
        <f t="shared" si="7"/>
        <v>6933.96</v>
      </c>
      <c r="G17" s="8">
        <f t="shared" si="7"/>
        <v>4033.68</v>
      </c>
      <c r="H17" s="30">
        <f t="shared" si="7"/>
        <v>14379.48</v>
      </c>
      <c r="I17" s="8">
        <f t="shared" si="7"/>
        <v>6629.040000000001</v>
      </c>
      <c r="J17" s="8">
        <f t="shared" si="7"/>
        <v>2196</v>
      </c>
      <c r="K17" s="8">
        <f t="shared" si="7"/>
        <v>14576.640000000001</v>
      </c>
      <c r="L17" s="8">
        <f t="shared" si="7"/>
        <v>6322.14</v>
      </c>
      <c r="M17" s="6"/>
    </row>
    <row r="18" spans="1:13" ht="13.5" thickBot="1">
      <c r="A18" s="320"/>
      <c r="B18" s="118" t="s">
        <v>105</v>
      </c>
      <c r="C18" s="68">
        <f t="shared" si="5"/>
        <v>48443.76</v>
      </c>
      <c r="D18" s="35">
        <f aca="true" t="shared" si="8" ref="D18:L18">+D5*D14</f>
        <v>4656</v>
      </c>
      <c r="E18" s="35">
        <f t="shared" si="8"/>
        <v>2772</v>
      </c>
      <c r="F18" s="35">
        <f t="shared" si="8"/>
        <v>8247.36</v>
      </c>
      <c r="G18" s="35">
        <f t="shared" si="8"/>
        <v>2235.84</v>
      </c>
      <c r="H18" s="69">
        <f t="shared" si="8"/>
        <v>8991</v>
      </c>
      <c r="I18" s="35">
        <f t="shared" si="8"/>
        <v>6320.16</v>
      </c>
      <c r="J18" s="35">
        <f t="shared" si="8"/>
        <v>1717.08</v>
      </c>
      <c r="K18" s="35">
        <f t="shared" si="8"/>
        <v>8625.6</v>
      </c>
      <c r="L18" s="35">
        <f t="shared" si="8"/>
        <v>4878.72</v>
      </c>
      <c r="M18" s="85"/>
    </row>
    <row r="19" spans="1:13" ht="13.5" thickBot="1">
      <c r="A19" s="45"/>
      <c r="B19" s="119" t="s">
        <v>248</v>
      </c>
      <c r="C19" s="122">
        <f t="shared" si="5"/>
        <v>666803.28</v>
      </c>
      <c r="D19" s="120">
        <f>SUM(D15:D18)</f>
        <v>69333.48000000001</v>
      </c>
      <c r="E19" s="120">
        <f aca="true" t="shared" si="9" ref="E19:L19">SUM(E15:E18)</f>
        <v>68944.14</v>
      </c>
      <c r="F19" s="120">
        <f t="shared" si="9"/>
        <v>68835.24</v>
      </c>
      <c r="G19" s="120">
        <f t="shared" si="9"/>
        <v>54763.56</v>
      </c>
      <c r="H19" s="120">
        <f t="shared" si="9"/>
        <v>123834.96</v>
      </c>
      <c r="I19" s="120">
        <f t="shared" si="9"/>
        <v>69313.08</v>
      </c>
      <c r="J19" s="120">
        <f t="shared" si="9"/>
        <v>32790.119999999995</v>
      </c>
      <c r="K19" s="120">
        <f t="shared" si="9"/>
        <v>116942.52</v>
      </c>
      <c r="L19" s="120">
        <f t="shared" si="9"/>
        <v>62046.18</v>
      </c>
      <c r="M19" s="121">
        <f>-'saldos-ABC'!C242</f>
        <v>6800</v>
      </c>
    </row>
    <row r="20" spans="1:13" ht="12.75">
      <c r="A20" s="332" t="s">
        <v>255</v>
      </c>
      <c r="B20" s="110" t="s">
        <v>102</v>
      </c>
      <c r="C20" s="112">
        <f t="shared" si="5"/>
        <v>282480.14494887524</v>
      </c>
      <c r="D20" s="116">
        <f>+D2*'prod term'!$C$8</f>
        <v>26959.052655930376</v>
      </c>
      <c r="E20" s="116">
        <f>+E2*'prod term'!$C$8</f>
        <v>29214.735874105387</v>
      </c>
      <c r="F20" s="116">
        <f>+F2*'prod term'!$C$8</f>
        <v>29557.766040924627</v>
      </c>
      <c r="G20" s="116">
        <f>+G2*'prod term'!$C$8</f>
        <v>26855.104120530606</v>
      </c>
      <c r="H20" s="73">
        <f>+H2*'prod term'!$C$8</f>
        <v>44729.054782521074</v>
      </c>
      <c r="I20" s="116">
        <f>+I2*'prod term'!$C$8</f>
        <v>26959.052655930376</v>
      </c>
      <c r="J20" s="116">
        <f>+J2*'prod term'!$C$8</f>
        <v>9636.029231558688</v>
      </c>
      <c r="K20" s="116">
        <f>+K2*'prod term'!$C$8</f>
        <v>61610.296931443736</v>
      </c>
      <c r="L20" s="116">
        <f>+L2*'prod term'!$C$8</f>
        <v>26959.052655930376</v>
      </c>
      <c r="M20" s="323">
        <f>+'coste produc-ABC'!G7</f>
        <v>6629.455818936625</v>
      </c>
    </row>
    <row r="21" spans="1:13" ht="12.75">
      <c r="A21" s="332"/>
      <c r="B21" s="107" t="s">
        <v>103</v>
      </c>
      <c r="C21" s="29">
        <f t="shared" si="5"/>
        <v>120798.37220146428</v>
      </c>
      <c r="D21" s="8">
        <f>+D3*'prod term'!$F$8</f>
        <v>14271.397929741852</v>
      </c>
      <c r="E21" s="8">
        <f>+E3*'prod term'!$F$8</f>
        <v>13164.501305426442</v>
      </c>
      <c r="F21" s="8">
        <f>+F3*'prod term'!$F$8</f>
        <v>9422.812289044008</v>
      </c>
      <c r="G21" s="8">
        <f>+G3*'prod term'!$F$8</f>
        <v>8987.622163244787</v>
      </c>
      <c r="H21" s="30">
        <f>+H3*'prod term'!$F$8</f>
        <v>25326.17319053294</v>
      </c>
      <c r="I21" s="8">
        <f>+I3*'prod term'!$F$8</f>
        <v>12769.518962989105</v>
      </c>
      <c r="J21" s="8">
        <f>+J3*'prod term'!$F$8</f>
        <v>9597.834404854564</v>
      </c>
      <c r="K21" s="8">
        <f>+K3*'prod term'!$F$8</f>
        <v>16260.500624291553</v>
      </c>
      <c r="L21" s="8">
        <f>+L3*'prod term'!$F$8</f>
        <v>10998.011331339016</v>
      </c>
      <c r="M21" s="324"/>
    </row>
    <row r="22" spans="1:13" ht="12.75">
      <c r="A22" s="332"/>
      <c r="B22" s="107" t="s">
        <v>104</v>
      </c>
      <c r="C22" s="29">
        <f t="shared" si="5"/>
        <v>66296.04755322328</v>
      </c>
      <c r="D22" s="8">
        <f>+D4*'prod term'!$I$8</f>
        <v>5317.53412570155</v>
      </c>
      <c r="E22" s="8">
        <f>+E4*'prod term'!$I$8</f>
        <v>7883.553500313344</v>
      </c>
      <c r="F22" s="8">
        <f>+F4*'prod term'!$I$8</f>
        <v>6937.527080275742</v>
      </c>
      <c r="G22" s="8">
        <f>+G4*'prod term'!$I$8</f>
        <v>4241.660942129376</v>
      </c>
      <c r="H22" s="30">
        <f>+H4*'prod term'!$I$8</f>
        <v>12558.036987557962</v>
      </c>
      <c r="I22" s="8">
        <f>+I4*'prod term'!$I$8</f>
        <v>6325.392337898471</v>
      </c>
      <c r="J22" s="8">
        <f>+J4*'prod term'!$I$8</f>
        <v>2263.0435930311246</v>
      </c>
      <c r="K22" s="8">
        <f>+K4*'prod term'!$I$8</f>
        <v>14443.906648417233</v>
      </c>
      <c r="L22" s="8">
        <f>+L4*'prod term'!$I$8</f>
        <v>6325.392337898471</v>
      </c>
      <c r="M22" s="324"/>
    </row>
    <row r="23" spans="1:13" ht="13.5" thickBot="1">
      <c r="A23" s="333"/>
      <c r="B23" s="111" t="s">
        <v>105</v>
      </c>
      <c r="C23" s="113">
        <f t="shared" si="5"/>
        <v>29021.718898537267</v>
      </c>
      <c r="D23" s="34">
        <f>+D5*'prod term'!$L$8</f>
        <v>2772.1385850892316</v>
      </c>
      <c r="E23" s="34">
        <f>+E5*'prod term'!$L$8</f>
        <v>1571.8311564938942</v>
      </c>
      <c r="F23" s="34">
        <f>+F5*'prod term'!$L$8</f>
        <v>4464.000484442659</v>
      </c>
      <c r="G23" s="34">
        <f>+G5*'prod term'!$L$8</f>
        <v>1566.1154068339165</v>
      </c>
      <c r="H23" s="117">
        <f>+H5*'prod term'!$L$8</f>
        <v>5787.1965307275195</v>
      </c>
      <c r="I23" s="34">
        <f>+I5*'prod term'!$L$8</f>
        <v>3961.0145143646137</v>
      </c>
      <c r="J23" s="34">
        <f>+J5*'prod term'!$L$8</f>
        <v>997.3983156661257</v>
      </c>
      <c r="K23" s="34">
        <f>+K5*'prod term'!$L$8</f>
        <v>5135.601069490051</v>
      </c>
      <c r="L23" s="34">
        <f>+L5*'prod term'!$L$8</f>
        <v>2766.422835429254</v>
      </c>
      <c r="M23" s="325"/>
    </row>
    <row r="24" spans="1:13" ht="12.75" customHeight="1">
      <c r="A24" s="328" t="s">
        <v>256</v>
      </c>
      <c r="B24" s="109" t="s">
        <v>102</v>
      </c>
      <c r="C24" s="134">
        <f t="shared" si="5"/>
        <v>47480.25505112477</v>
      </c>
      <c r="D24" s="28">
        <f aca="true" t="shared" si="10" ref="D24:L24">+D15-D20</f>
        <v>4785.387344069626</v>
      </c>
      <c r="E24" s="28">
        <f t="shared" si="10"/>
        <v>5185.784125894617</v>
      </c>
      <c r="F24" s="28">
        <f t="shared" si="10"/>
        <v>5929.113959075377</v>
      </c>
      <c r="G24" s="28">
        <f t="shared" si="10"/>
        <v>4766.935879469394</v>
      </c>
      <c r="H24" s="28">
        <f t="shared" si="10"/>
        <v>6906.945217478926</v>
      </c>
      <c r="I24" s="28">
        <f t="shared" si="10"/>
        <v>4785.387344069626</v>
      </c>
      <c r="J24" s="28">
        <f t="shared" si="10"/>
        <v>1710.450768441311</v>
      </c>
      <c r="K24" s="28">
        <f t="shared" si="10"/>
        <v>7379.983068556263</v>
      </c>
      <c r="L24" s="28">
        <f t="shared" si="10"/>
        <v>6030.2673440696235</v>
      </c>
      <c r="M24" s="326">
        <f>+M19-M20</f>
        <v>170.5441810633747</v>
      </c>
    </row>
    <row r="25" spans="1:13" ht="12.75">
      <c r="A25" s="328"/>
      <c r="B25" s="107" t="s">
        <v>103</v>
      </c>
      <c r="C25" s="29">
        <f t="shared" si="5"/>
        <v>99385.30779853572</v>
      </c>
      <c r="D25" s="8">
        <f aca="true" t="shared" si="11" ref="D25:L25">+D16-D21</f>
        <v>13243.642070258149</v>
      </c>
      <c r="E25" s="8">
        <f t="shared" si="11"/>
        <v>10880.618694573557</v>
      </c>
      <c r="F25" s="8">
        <f t="shared" si="11"/>
        <v>8744.227710955993</v>
      </c>
      <c r="G25" s="8">
        <f t="shared" si="11"/>
        <v>7884.377836755213</v>
      </c>
      <c r="H25" s="8">
        <f t="shared" si="11"/>
        <v>23502.306809467063</v>
      </c>
      <c r="I25" s="8">
        <f t="shared" si="11"/>
        <v>11849.921037010894</v>
      </c>
      <c r="J25" s="8">
        <f t="shared" si="11"/>
        <v>7932.7255951454335</v>
      </c>
      <c r="K25" s="8">
        <f t="shared" si="11"/>
        <v>8489.499375708447</v>
      </c>
      <c r="L25" s="8">
        <f t="shared" si="11"/>
        <v>6857.988668660984</v>
      </c>
      <c r="M25" s="326"/>
    </row>
    <row r="26" spans="1:13" ht="12.75">
      <c r="A26" s="328"/>
      <c r="B26" s="107" t="s">
        <v>104</v>
      </c>
      <c r="C26" s="29">
        <f t="shared" si="5"/>
        <v>1919.3924467767292</v>
      </c>
      <c r="D26" s="8">
        <f aca="true" t="shared" si="12" ref="D26:L26">+D17-D22</f>
        <v>100.46587429845022</v>
      </c>
      <c r="E26" s="8">
        <f t="shared" si="12"/>
        <v>-157.05350031334365</v>
      </c>
      <c r="F26" s="8">
        <f t="shared" si="12"/>
        <v>-3.567080275742228</v>
      </c>
      <c r="G26" s="8">
        <f t="shared" si="12"/>
        <v>-207.98094212937622</v>
      </c>
      <c r="H26" s="8">
        <f t="shared" si="12"/>
        <v>1821.4430124420378</v>
      </c>
      <c r="I26" s="8">
        <f t="shared" si="12"/>
        <v>303.64766210152993</v>
      </c>
      <c r="J26" s="8">
        <f t="shared" si="12"/>
        <v>-67.0435930311246</v>
      </c>
      <c r="K26" s="8">
        <f t="shared" si="12"/>
        <v>132.7333515827686</v>
      </c>
      <c r="L26" s="8">
        <f t="shared" si="12"/>
        <v>-3.252337898470614</v>
      </c>
      <c r="M26" s="326"/>
    </row>
    <row r="27" spans="1:13" ht="13.5" thickBot="1">
      <c r="A27" s="328"/>
      <c r="B27" s="118" t="s">
        <v>105</v>
      </c>
      <c r="C27" s="68">
        <f t="shared" si="5"/>
        <v>19422.04110146274</v>
      </c>
      <c r="D27" s="35">
        <f aca="true" t="shared" si="13" ref="D27:L27">+D18-D23</f>
        <v>1883.8614149107684</v>
      </c>
      <c r="E27" s="35">
        <f t="shared" si="13"/>
        <v>1200.1688435061058</v>
      </c>
      <c r="F27" s="35">
        <f t="shared" si="13"/>
        <v>3783.359515557341</v>
      </c>
      <c r="G27" s="35">
        <f t="shared" si="13"/>
        <v>669.7245931660837</v>
      </c>
      <c r="H27" s="35">
        <f t="shared" si="13"/>
        <v>3203.8034692724805</v>
      </c>
      <c r="I27" s="35">
        <f t="shared" si="13"/>
        <v>2359.145485635386</v>
      </c>
      <c r="J27" s="35">
        <f t="shared" si="13"/>
        <v>719.6816843338743</v>
      </c>
      <c r="K27" s="35">
        <f t="shared" si="13"/>
        <v>3489.99893050995</v>
      </c>
      <c r="L27" s="35">
        <f t="shared" si="13"/>
        <v>2112.297164570746</v>
      </c>
      <c r="M27" s="326"/>
    </row>
    <row r="28" spans="1:13" ht="13.5" thickBot="1">
      <c r="A28" s="329"/>
      <c r="B28" s="139" t="s">
        <v>257</v>
      </c>
      <c r="C28" s="122">
        <f t="shared" si="5"/>
        <v>168206.9963979</v>
      </c>
      <c r="D28" s="120">
        <f>SUM(D24:D27)</f>
        <v>20013.356703536992</v>
      </c>
      <c r="E28" s="120">
        <f aca="true" t="shared" si="14" ref="E28:L28">SUM(E24:E27)</f>
        <v>17109.518163660934</v>
      </c>
      <c r="F28" s="120">
        <f t="shared" si="14"/>
        <v>18453.13410531297</v>
      </c>
      <c r="G28" s="120">
        <f t="shared" si="14"/>
        <v>13113.057367261315</v>
      </c>
      <c r="H28" s="120">
        <f t="shared" si="14"/>
        <v>35434.49850866051</v>
      </c>
      <c r="I28" s="120">
        <f t="shared" si="14"/>
        <v>19298.101528817435</v>
      </c>
      <c r="J28" s="120">
        <f t="shared" si="14"/>
        <v>10295.814454889494</v>
      </c>
      <c r="K28" s="120">
        <f t="shared" si="14"/>
        <v>19492.21472635743</v>
      </c>
      <c r="L28" s="121">
        <f t="shared" si="14"/>
        <v>14997.300839402882</v>
      </c>
      <c r="M28" s="327"/>
    </row>
    <row r="29" spans="1:13" ht="12.75" customHeight="1">
      <c r="A29" s="317" t="s">
        <v>258</v>
      </c>
      <c r="B29" t="str">
        <f>'saldos-ABC'!AH3</f>
        <v>30. Logística</v>
      </c>
      <c r="C29" s="134">
        <f t="shared" si="5"/>
        <v>748.8360000000001</v>
      </c>
      <c r="D29" s="28">
        <f>D10*'saldos-ABC'!$AH$263</f>
        <v>77.30547219347349</v>
      </c>
      <c r="E29" s="28">
        <f>E10*'saldos-ABC'!$AH$263</f>
        <v>77.16876307439911</v>
      </c>
      <c r="F29" s="28">
        <f>F10*'saldos-ABC'!$AH$263</f>
        <v>73.30077594641126</v>
      </c>
      <c r="G29" s="28">
        <f>G10*'saldos-ABC'!$AH$263</f>
        <v>60.546478562089874</v>
      </c>
      <c r="H29" s="28">
        <f>H10*'saldos-ABC'!$AH$263</f>
        <v>138.4075966500352</v>
      </c>
      <c r="I29" s="28">
        <f>I10*'saldos-ABC'!$AH$263</f>
        <v>76.99431484289924</v>
      </c>
      <c r="J29" s="28">
        <f>J10*'saldos-ABC'!$AH$263</f>
        <v>39.16145280673712</v>
      </c>
      <c r="K29" s="28">
        <f>K10*'saldos-ABC'!$AH$263</f>
        <v>135.810558420618</v>
      </c>
      <c r="L29" s="28">
        <f>L10*'saldos-ABC'!$AH$263</f>
        <v>70.14058750333682</v>
      </c>
      <c r="M29" s="137"/>
    </row>
    <row r="30" spans="1:13" ht="12.75">
      <c r="A30" s="317"/>
      <c r="B30" s="6" t="str">
        <f>'saldos-ABC'!AL3</f>
        <v>2. Pedidos/facturación</v>
      </c>
      <c r="C30" s="29">
        <f t="shared" si="5"/>
        <v>1950.844</v>
      </c>
      <c r="D30" s="8">
        <f>3*'saldos-ABC'!$AL$263</f>
        <v>167.21519999999998</v>
      </c>
      <c r="E30" s="8">
        <f>3*'saldos-ABC'!$AL$263</f>
        <v>167.21519999999998</v>
      </c>
      <c r="F30" s="8">
        <f>3*'saldos-ABC'!$AL$263</f>
        <v>167.21519999999998</v>
      </c>
      <c r="G30" s="8">
        <f>3*'saldos-ABC'!$AL$263</f>
        <v>167.21519999999998</v>
      </c>
      <c r="H30" s="8">
        <f>7*'saldos-ABC'!$AL$263</f>
        <v>390.1688</v>
      </c>
      <c r="I30" s="8">
        <f>3*'saldos-ABC'!$AL$263</f>
        <v>167.21519999999998</v>
      </c>
      <c r="J30" s="8">
        <f>3*'saldos-ABC'!$AL$263</f>
        <v>167.21519999999998</v>
      </c>
      <c r="K30" s="8">
        <f>7*'saldos-ABC'!$AL$263</f>
        <v>390.1688</v>
      </c>
      <c r="L30" s="8">
        <f>3*'saldos-ABC'!$AL$263</f>
        <v>167.21519999999998</v>
      </c>
      <c r="M30" s="137"/>
    </row>
    <row r="31" spans="1:13" ht="12.75">
      <c r="A31" s="317"/>
      <c r="B31" s="138" t="str">
        <f>'saldos-ABC'!AR3</f>
        <v>1. Gestión clientes</v>
      </c>
      <c r="C31" s="29">
        <f t="shared" si="5"/>
        <v>13000.22</v>
      </c>
      <c r="D31" s="8">
        <f>10*'saldos-ABC'!$AR$263</f>
        <v>1056.928455284553</v>
      </c>
      <c r="E31" s="8">
        <f>10*'saldos-ABC'!$AR$263</f>
        <v>1056.928455284553</v>
      </c>
      <c r="F31" s="8">
        <f>10*'saldos-ABC'!$AR$263</f>
        <v>1056.928455284553</v>
      </c>
      <c r="G31" s="8">
        <f>6*'saldos-ABC'!$AR$263</f>
        <v>634.1570731707317</v>
      </c>
      <c r="H31" s="8">
        <f>28*'saldos-ABC'!$AR$263</f>
        <v>2959.3996747967476</v>
      </c>
      <c r="I31" s="8">
        <f>10*'saldos-ABC'!$AR$263</f>
        <v>1056.928455284553</v>
      </c>
      <c r="J31" s="8">
        <f>10*'saldos-ABC'!$AR$263</f>
        <v>1056.928455284553</v>
      </c>
      <c r="K31" s="8">
        <f>29*'saldos-ABC'!$AR$263</f>
        <v>3065.092520325203</v>
      </c>
      <c r="L31" s="8">
        <f>10*'saldos-ABC'!$AR$263</f>
        <v>1056.928455284553</v>
      </c>
      <c r="M31" s="137"/>
    </row>
    <row r="32" spans="1:13" ht="12.75">
      <c r="A32" s="317"/>
      <c r="B32" s="138" t="str">
        <f>'saldos-ABC'!AS3</f>
        <v>2. Promociones</v>
      </c>
      <c r="C32" s="29">
        <f t="shared" si="5"/>
        <v>19700</v>
      </c>
      <c r="D32" s="8">
        <f>3*'saldos-ABC'!$AS$263</f>
        <v>1313.3333333333333</v>
      </c>
      <c r="E32" s="8">
        <f>2*'saldos-ABC'!$AS$263</f>
        <v>875.5555555555555</v>
      </c>
      <c r="F32" s="8">
        <f>5*'saldos-ABC'!$AS$263</f>
        <v>2188.8888888888887</v>
      </c>
      <c r="G32" s="8">
        <f>2*'saldos-ABC'!$AS$263</f>
        <v>875.5555555555555</v>
      </c>
      <c r="H32" s="8">
        <f>14*'saldos-ABC'!$AS$263</f>
        <v>6128.888888888889</v>
      </c>
      <c r="I32" s="8">
        <f>3*'saldos-ABC'!$AS$263</f>
        <v>1313.3333333333333</v>
      </c>
      <c r="J32" s="8">
        <f>5*'saldos-ABC'!$AS$263</f>
        <v>2188.8888888888887</v>
      </c>
      <c r="K32" s="8">
        <f>11*'saldos-ABC'!$AS$263</f>
        <v>4815.555555555556</v>
      </c>
      <c r="L32" s="8">
        <f>0*'saldos-ABC'!$AS$263</f>
        <v>0</v>
      </c>
      <c r="M32" s="137"/>
    </row>
    <row r="33" spans="1:13" ht="13.5" thickBot="1">
      <c r="A33" s="317"/>
      <c r="B33" s="143" t="str">
        <f>'saldos-ABC'!AU3</f>
        <v>4. Distribución</v>
      </c>
      <c r="C33" s="68">
        <f t="shared" si="5"/>
        <v>86400.00000000001</v>
      </c>
      <c r="D33" s="35">
        <f>18*'saldos-ABC'!$AU$263</f>
        <v>5981.538461538462</v>
      </c>
      <c r="E33" s="35">
        <f>19*'saldos-ABC'!$AU$263</f>
        <v>6313.846153846154</v>
      </c>
      <c r="F33" s="35">
        <f>32*'saldos-ABC'!$AU$263</f>
        <v>10633.846153846154</v>
      </c>
      <c r="G33" s="35">
        <f>12*'saldos-ABC'!$AU$263</f>
        <v>3987.6923076923076</v>
      </c>
      <c r="H33" s="35">
        <f>58*'saldos-ABC'!$AU$263</f>
        <v>19273.846153846156</v>
      </c>
      <c r="I33" s="35">
        <f>11*'saldos-ABC'!$AU$263</f>
        <v>3655.3846153846157</v>
      </c>
      <c r="J33" s="35">
        <f>22*'saldos-ABC'!$AU$263</f>
        <v>7310.769230769231</v>
      </c>
      <c r="K33" s="35">
        <f>63*'saldos-ABC'!$AU$263</f>
        <v>20935.384615384617</v>
      </c>
      <c r="L33" s="35">
        <f>25*'saldos-ABC'!$AU$263</f>
        <v>8307.692307692309</v>
      </c>
      <c r="M33" s="144"/>
    </row>
    <row r="34" spans="2:13" ht="13.5" thickBot="1">
      <c r="B34" s="146" t="s">
        <v>262</v>
      </c>
      <c r="C34" s="122">
        <f>SUM(D34:M34)</f>
        <v>46577.64057896333</v>
      </c>
      <c r="D34" s="122">
        <f>+D28-SUM(D29:D33)</f>
        <v>11417.03578118717</v>
      </c>
      <c r="E34" s="122">
        <f aca="true" t="shared" si="15" ref="E34:L34">+E28-SUM(E29:E33)</f>
        <v>8618.804035900272</v>
      </c>
      <c r="F34" s="122">
        <f t="shared" si="15"/>
        <v>4332.954631346962</v>
      </c>
      <c r="G34" s="122">
        <f t="shared" si="15"/>
        <v>7387.890752280631</v>
      </c>
      <c r="H34" s="122">
        <f t="shared" si="15"/>
        <v>6543.787394478681</v>
      </c>
      <c r="I34" s="122">
        <f t="shared" si="15"/>
        <v>13028.245609972033</v>
      </c>
      <c r="J34" s="122">
        <f t="shared" si="15"/>
        <v>-467.14877285991497</v>
      </c>
      <c r="K34" s="122">
        <f t="shared" si="15"/>
        <v>-9849.797323328563</v>
      </c>
      <c r="L34" s="122">
        <f t="shared" si="15"/>
        <v>5395.324288922684</v>
      </c>
      <c r="M34" s="135">
        <f>M24</f>
        <v>170.5441810633747</v>
      </c>
    </row>
    <row r="35" spans="2:13" ht="13.5" thickBot="1">
      <c r="B35" s="146" t="s">
        <v>264</v>
      </c>
      <c r="C35" s="122"/>
      <c r="D35" s="168">
        <f>+D34/D19</f>
        <v>0.16466843696850597</v>
      </c>
      <c r="E35" s="168">
        <f aca="true" t="shared" si="16" ref="E35:L35">+E34/E19</f>
        <v>0.12501140830678678</v>
      </c>
      <c r="F35" s="168">
        <f t="shared" si="16"/>
        <v>0.06294674982388325</v>
      </c>
      <c r="G35" s="168">
        <f t="shared" si="16"/>
        <v>0.13490523173220717</v>
      </c>
      <c r="H35" s="168">
        <f t="shared" si="16"/>
        <v>0.05284281106465154</v>
      </c>
      <c r="I35" s="168">
        <f t="shared" si="16"/>
        <v>0.1879622952835458</v>
      </c>
      <c r="J35" s="168">
        <f t="shared" si="16"/>
        <v>-0.014246631999514337</v>
      </c>
      <c r="K35" s="168">
        <f t="shared" si="16"/>
        <v>-0.08422768145691202</v>
      </c>
      <c r="L35" s="168">
        <f t="shared" si="16"/>
        <v>0.08695659086381602</v>
      </c>
      <c r="M35" s="135"/>
    </row>
    <row r="36" spans="2:13" ht="12.75">
      <c r="B36" s="109" t="s">
        <v>259</v>
      </c>
      <c r="C36" s="134">
        <f>+'saldos-ABC'!AW274</f>
        <v>36204.238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2:13" ht="12.75">
      <c r="B37" s="107" t="s">
        <v>260</v>
      </c>
      <c r="C37" s="29">
        <f>-'saldos-ABC'!C193-'saldos-ABC'!C194-'saldos-ABC'!C252-'saldos-ABC'!C253</f>
        <v>15894.68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</row>
    <row r="38" spans="2:13" ht="12.75">
      <c r="B38" s="160" t="s">
        <v>261</v>
      </c>
      <c r="C38" s="161">
        <f>+C34-C36+C37</f>
        <v>26268.08257896333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</row>
    <row r="39" ht="12.75">
      <c r="C39" s="170">
        <f>+C38/C19</f>
        <v>0.039394051239465</v>
      </c>
    </row>
  </sheetData>
  <sheetProtection/>
  <mergeCells count="11">
    <mergeCell ref="A1:B1"/>
    <mergeCell ref="A20:A23"/>
    <mergeCell ref="A10:B10"/>
    <mergeCell ref="A29:A33"/>
    <mergeCell ref="A2:A5"/>
    <mergeCell ref="A11:A14"/>
    <mergeCell ref="A15:A18"/>
    <mergeCell ref="A6:A9"/>
    <mergeCell ref="M20:M23"/>
    <mergeCell ref="M24:M28"/>
    <mergeCell ref="A24:A28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="130" zoomScaleNormal="130" zoomScalePageLayoutView="0" workbookViewId="0" topLeftCell="A6">
      <selection activeCell="C23" sqref="C23"/>
    </sheetView>
  </sheetViews>
  <sheetFormatPr defaultColWidth="11.421875" defaultRowHeight="12.75"/>
  <cols>
    <col min="1" max="1" width="6.8515625" style="179" customWidth="1"/>
    <col min="2" max="2" width="16.00390625" style="179" customWidth="1"/>
    <col min="3" max="3" width="18.00390625" style="179" customWidth="1"/>
    <col min="4" max="4" width="14.28125" style="179" customWidth="1"/>
    <col min="5" max="5" width="12.421875" style="179" customWidth="1"/>
    <col min="6" max="7" width="13.140625" style="179" customWidth="1"/>
    <col min="8" max="16384" width="11.421875" style="179" customWidth="1"/>
  </cols>
  <sheetData>
    <row r="2" ht="12.75">
      <c r="A2" s="181" t="s">
        <v>273</v>
      </c>
    </row>
    <row r="4" ht="12.75">
      <c r="A4" s="180" t="s">
        <v>458</v>
      </c>
    </row>
    <row r="5" spans="1:7" ht="12.75">
      <c r="A5" s="180"/>
      <c r="E5" s="276" t="s">
        <v>463</v>
      </c>
      <c r="F5" s="276" t="s">
        <v>462</v>
      </c>
      <c r="G5" s="276" t="s">
        <v>464</v>
      </c>
    </row>
    <row r="6" spans="2:7" ht="13.5" thickBot="1">
      <c r="B6" s="183" t="s">
        <v>275</v>
      </c>
      <c r="D6" s="184">
        <f>E6*(F6-G6)</f>
        <v>-13254.000000000011</v>
      </c>
      <c r="E6" s="274">
        <f>MP!$C$15</f>
        <v>1325400</v>
      </c>
      <c r="F6" s="277">
        <f>MP!$B$15</f>
        <v>0.255</v>
      </c>
      <c r="G6" s="210">
        <f>+MP!$D$15</f>
        <v>0.265</v>
      </c>
    </row>
    <row r="7" spans="2:7" ht="13.5" thickBot="1">
      <c r="B7" s="183" t="s">
        <v>276</v>
      </c>
      <c r="D7" s="272"/>
      <c r="E7" s="274"/>
      <c r="F7" s="277"/>
      <c r="G7" s="210"/>
    </row>
    <row r="8" ht="12.75">
      <c r="B8" s="183"/>
    </row>
    <row r="9" ht="12.75">
      <c r="A9" s="180" t="s">
        <v>274</v>
      </c>
    </row>
    <row r="11" ht="12.75">
      <c r="A11" s="183" t="s">
        <v>277</v>
      </c>
    </row>
    <row r="12" ht="12.75">
      <c r="A12" s="183"/>
    </row>
    <row r="13" spans="1:7" ht="12.75">
      <c r="A13" s="183"/>
      <c r="D13" s="273" t="s">
        <v>459</v>
      </c>
      <c r="E13" s="273" t="s">
        <v>460</v>
      </c>
      <c r="F13" s="273" t="s">
        <v>461</v>
      </c>
      <c r="G13" s="273" t="s">
        <v>462</v>
      </c>
    </row>
    <row r="14" spans="2:7" ht="13.5" thickBot="1">
      <c r="B14" s="183" t="s">
        <v>275</v>
      </c>
      <c r="C14" s="184">
        <f>+D14*(E14-F14)*G14</f>
        <v>-9098.145</v>
      </c>
      <c r="D14" s="274">
        <f>MP!$C$13</f>
        <v>1315400</v>
      </c>
      <c r="E14" s="207">
        <f>MP!$B$12</f>
        <v>0.065</v>
      </c>
      <c r="F14" s="275">
        <f>MP!$C$12</f>
        <v>0.09212406872434241</v>
      </c>
      <c r="G14" s="277">
        <f>+F6</f>
        <v>0.255</v>
      </c>
    </row>
    <row r="15" spans="2:7" ht="13.5" thickBot="1">
      <c r="B15" s="183" t="s">
        <v>276</v>
      </c>
      <c r="C15" s="272"/>
      <c r="D15" s="274"/>
      <c r="E15" s="207"/>
      <c r="F15" s="275"/>
      <c r="G15" s="277"/>
    </row>
    <row r="17" ht="12.75">
      <c r="A17" s="183" t="s">
        <v>278</v>
      </c>
    </row>
    <row r="18" ht="12.75">
      <c r="A18" s="183"/>
    </row>
    <row r="19" spans="1:7" ht="12.75">
      <c r="A19" s="183"/>
      <c r="D19" s="273" t="s">
        <v>459</v>
      </c>
      <c r="E19" s="273" t="s">
        <v>460</v>
      </c>
      <c r="F19" s="273" t="s">
        <v>461</v>
      </c>
      <c r="G19" s="273" t="s">
        <v>462</v>
      </c>
    </row>
    <row r="20" spans="2:7" ht="13.5" thickBot="1">
      <c r="B20" s="183" t="s">
        <v>275</v>
      </c>
      <c r="C20" s="184">
        <f>+D20*(E20-F20)*G20</f>
        <v>-39992.159999999996</v>
      </c>
      <c r="D20" s="278">
        <f>MP!$C$8</f>
        <v>471540</v>
      </c>
      <c r="E20" s="279">
        <f>+MP!$B$9</f>
        <v>2.2</v>
      </c>
      <c r="F20" s="203">
        <f>+MP!$C$9</f>
        <v>2.5325953259532596</v>
      </c>
      <c r="G20" s="277">
        <f>+F6</f>
        <v>0.255</v>
      </c>
    </row>
    <row r="21" spans="2:7" ht="13.5" thickBot="1">
      <c r="B21" s="183" t="s">
        <v>276</v>
      </c>
      <c r="C21" s="272"/>
      <c r="D21" s="278"/>
      <c r="E21" s="279"/>
      <c r="F21" s="203"/>
      <c r="G21" s="277"/>
    </row>
    <row r="22" spans="2:4" ht="12.75">
      <c r="B22" s="183"/>
      <c r="D22" s="182"/>
    </row>
  </sheetData>
  <sheetProtection/>
  <printOptions/>
  <pageMargins left="0.32" right="0.3" top="0.64" bottom="0.44" header="0.05" footer="0.39"/>
  <pageSetup horizontalDpi="600" verticalDpi="600" orientation="portrait" paperSize="9" scale="110" r:id="rId1"/>
  <headerFooter alignWithMargins="0">
    <oddHeader>&amp;C&amp;9Caso 17.2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"/>
  <sheetViews>
    <sheetView zoomScale="130" zoomScaleNormal="130" zoomScalePageLayoutView="0" workbookViewId="0" topLeftCell="A1">
      <selection activeCell="B7" sqref="B7"/>
    </sheetView>
  </sheetViews>
  <sheetFormatPr defaultColWidth="11.421875" defaultRowHeight="12.75"/>
  <cols>
    <col min="1" max="1" width="19.00390625" style="0" customWidth="1"/>
    <col min="2" max="3" width="10.8515625" style="0" bestFit="1" customWidth="1"/>
    <col min="4" max="4" width="10.00390625" style="0" bestFit="1" customWidth="1"/>
    <col min="5" max="5" width="9.140625" style="0" customWidth="1"/>
    <col min="6" max="6" width="11.140625" style="0" customWidth="1"/>
    <col min="7" max="8" width="9.140625" style="0" customWidth="1"/>
    <col min="9" max="9" width="10.8515625" style="0" bestFit="1" customWidth="1"/>
    <col min="10" max="10" width="9.140625" style="0" customWidth="1"/>
  </cols>
  <sheetData>
    <row r="1" ht="15.75">
      <c r="A1" s="192" t="s">
        <v>320</v>
      </c>
    </row>
    <row r="2" spans="1:256" ht="15.75">
      <c r="A2" s="251" t="s">
        <v>336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  <c r="IN2" s="192"/>
      <c r="IO2" s="192"/>
      <c r="IP2" s="192"/>
      <c r="IQ2" s="192"/>
      <c r="IR2" s="192"/>
      <c r="IS2" s="192"/>
      <c r="IT2" s="192"/>
      <c r="IU2" s="192"/>
      <c r="IV2" s="192"/>
    </row>
    <row r="3" spans="1:10" ht="15.75">
      <c r="A3" s="254" t="s">
        <v>298</v>
      </c>
      <c r="B3" s="283" t="s">
        <v>321</v>
      </c>
      <c r="C3" s="284"/>
      <c r="D3" s="285"/>
      <c r="E3" s="286" t="s">
        <v>322</v>
      </c>
      <c r="F3" s="286"/>
      <c r="G3" s="287"/>
      <c r="H3" s="288" t="s">
        <v>323</v>
      </c>
      <c r="I3" s="289"/>
      <c r="J3" s="290"/>
    </row>
    <row r="4" spans="1:10" ht="15.75">
      <c r="A4" s="253" t="s">
        <v>453</v>
      </c>
      <c r="B4" s="242" t="s">
        <v>324</v>
      </c>
      <c r="C4" s="194" t="s">
        <v>325</v>
      </c>
      <c r="D4" s="243" t="s">
        <v>293</v>
      </c>
      <c r="E4" s="242" t="s">
        <v>324</v>
      </c>
      <c r="F4" s="194" t="s">
        <v>325</v>
      </c>
      <c r="G4" s="243" t="s">
        <v>293</v>
      </c>
      <c r="H4" s="242" t="s">
        <v>324</v>
      </c>
      <c r="I4" s="194" t="s">
        <v>325</v>
      </c>
      <c r="J4" s="243" t="s">
        <v>293</v>
      </c>
    </row>
    <row r="5" spans="1:10" ht="12.75">
      <c r="A5" s="244" t="s">
        <v>294</v>
      </c>
      <c r="B5" s="245">
        <v>1624</v>
      </c>
      <c r="C5" s="210">
        <v>0.44</v>
      </c>
      <c r="D5" s="246">
        <f>+B5*C5</f>
        <v>714.5600000000001</v>
      </c>
      <c r="E5" s="245">
        <v>24</v>
      </c>
      <c r="F5" s="210">
        <v>1.88</v>
      </c>
      <c r="G5" s="246">
        <f>+E5*F5</f>
        <v>45.12</v>
      </c>
      <c r="H5" s="245">
        <v>8.5</v>
      </c>
      <c r="I5" s="210">
        <v>0.84</v>
      </c>
      <c r="J5" s="246">
        <f>+H5*I5</f>
        <v>7.14</v>
      </c>
    </row>
    <row r="6" spans="1:10" ht="12.75">
      <c r="A6" s="244" t="s">
        <v>295</v>
      </c>
      <c r="B6" s="245">
        <v>8420</v>
      </c>
      <c r="C6" s="210">
        <v>0.45</v>
      </c>
      <c r="D6" s="246">
        <f>+B6*C6</f>
        <v>3789</v>
      </c>
      <c r="E6" s="245">
        <v>130</v>
      </c>
      <c r="F6" s="210">
        <v>1.79</v>
      </c>
      <c r="G6" s="246">
        <f>+E6*F6</f>
        <v>232.70000000000002</v>
      </c>
      <c r="H6" s="245">
        <v>15</v>
      </c>
      <c r="I6" s="210">
        <v>0.84</v>
      </c>
      <c r="J6" s="246">
        <f>+H6*I6</f>
        <v>12.6</v>
      </c>
    </row>
    <row r="7" spans="1:10" ht="12.75">
      <c r="A7" s="244" t="s">
        <v>326</v>
      </c>
      <c r="B7" s="245">
        <f>+B5+B6-B8</f>
        <v>7175</v>
      </c>
      <c r="C7" s="210">
        <f>+(D5+D6)/(B5+B6)</f>
        <v>0.4483831142970928</v>
      </c>
      <c r="D7" s="246">
        <f>+B7*C7</f>
        <v>3217.148845081641</v>
      </c>
      <c r="E7" s="245">
        <f>+E5+E6-E8</f>
        <v>141</v>
      </c>
      <c r="F7" s="210">
        <f>+(G5+G6)/(E5+E6)</f>
        <v>1.804025974025974</v>
      </c>
      <c r="G7" s="246">
        <f>+E7*F7</f>
        <v>254.36766233766235</v>
      </c>
      <c r="H7" s="245">
        <f>+H5+H6-H8</f>
        <v>19.5</v>
      </c>
      <c r="I7" s="210">
        <f>+(J5+J6)/(H5+H6)</f>
        <v>0.84</v>
      </c>
      <c r="J7" s="246">
        <f>+H7*I7</f>
        <v>16.38</v>
      </c>
    </row>
    <row r="8" spans="1:10" ht="12.75">
      <c r="A8" s="244" t="s">
        <v>296</v>
      </c>
      <c r="B8" s="245">
        <v>2869</v>
      </c>
      <c r="C8" s="210">
        <f>+C7</f>
        <v>0.4483831142970928</v>
      </c>
      <c r="D8" s="246">
        <f>+B8*C8</f>
        <v>1286.4111549183592</v>
      </c>
      <c r="E8" s="245">
        <v>13</v>
      </c>
      <c r="F8" s="210">
        <f>+F7</f>
        <v>1.804025974025974</v>
      </c>
      <c r="G8" s="246">
        <f>+E8*F8</f>
        <v>23.452337662337662</v>
      </c>
      <c r="H8" s="245">
        <v>4</v>
      </c>
      <c r="I8" s="210">
        <f>+I7</f>
        <v>0.84</v>
      </c>
      <c r="J8" s="246">
        <f>+H8*I8</f>
        <v>3.36</v>
      </c>
    </row>
    <row r="9" spans="1:10" ht="12.75">
      <c r="A9" s="244" t="s">
        <v>297</v>
      </c>
      <c r="B9" s="178"/>
      <c r="C9" s="178"/>
      <c r="D9" s="247">
        <f>+D5-D8</f>
        <v>-571.8511549183592</v>
      </c>
      <c r="E9" s="178"/>
      <c r="F9" s="178"/>
      <c r="G9" s="247">
        <f>+G5-G8</f>
        <v>21.667662337662335</v>
      </c>
      <c r="H9" s="178"/>
      <c r="I9" s="178"/>
      <c r="J9" s="247">
        <f>+J5-J8</f>
        <v>3.78</v>
      </c>
    </row>
  </sheetData>
  <sheetProtection/>
  <mergeCells count="3">
    <mergeCell ref="B3:D3"/>
    <mergeCell ref="E3:G3"/>
    <mergeCell ref="H3:J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1"/>
  <sheetViews>
    <sheetView zoomScalePageLayoutView="0" workbookViewId="0" topLeftCell="A1">
      <selection activeCell="AC29" sqref="AC29"/>
    </sheetView>
  </sheetViews>
  <sheetFormatPr defaultColWidth="11.421875" defaultRowHeight="12.75"/>
  <cols>
    <col min="1" max="1" width="23.140625" style="0" customWidth="1"/>
    <col min="2" max="2" width="35.140625" style="0" customWidth="1"/>
    <col min="3" max="3" width="10.7109375" style="0" customWidth="1"/>
    <col min="4" max="4" width="10.28125" style="0" customWidth="1"/>
    <col min="5" max="5" width="10.00390625" style="0" customWidth="1"/>
    <col min="6" max="6" width="9.7109375" style="0" customWidth="1"/>
    <col min="7" max="7" width="13.140625" style="0" bestFit="1" customWidth="1"/>
    <col min="8" max="15" width="10.140625" style="0" customWidth="1"/>
    <col min="35" max="35" width="12.57421875" style="0" customWidth="1"/>
  </cols>
  <sheetData>
    <row r="1" spans="1:4" ht="15.75">
      <c r="A1" s="192" t="s">
        <v>272</v>
      </c>
      <c r="D1" t="s">
        <v>452</v>
      </c>
    </row>
    <row r="2" spans="1:4" ht="15.75">
      <c r="A2" s="251" t="s">
        <v>336</v>
      </c>
      <c r="D2" s="223">
        <f>+'saldos-ABC'!C192/SUM('saldos-ABC'!C168:C191)</f>
        <v>0.26799999999999996</v>
      </c>
    </row>
    <row r="3" spans="1:15" s="102" customFormat="1" ht="15.75">
      <c r="A3" s="192" t="s">
        <v>298</v>
      </c>
      <c r="C3" s="291" t="s">
        <v>299</v>
      </c>
      <c r="D3" s="291"/>
      <c r="E3" s="291"/>
      <c r="H3" s="291" t="s">
        <v>300</v>
      </c>
      <c r="I3" s="291"/>
      <c r="J3" s="291"/>
      <c r="K3" s="291"/>
      <c r="L3" s="291" t="s">
        <v>301</v>
      </c>
      <c r="M3" s="291"/>
      <c r="N3" s="291"/>
      <c r="O3" s="291"/>
    </row>
    <row r="4" spans="1:15" s="102" customFormat="1" ht="12.75">
      <c r="A4" s="23" t="s">
        <v>0</v>
      </c>
      <c r="B4" s="23" t="s">
        <v>302</v>
      </c>
      <c r="C4" s="214" t="s">
        <v>451</v>
      </c>
      <c r="D4" s="214" t="s">
        <v>450</v>
      </c>
      <c r="E4" s="214" t="s">
        <v>17</v>
      </c>
      <c r="F4" s="23" t="s">
        <v>303</v>
      </c>
      <c r="G4" s="23" t="s">
        <v>304</v>
      </c>
      <c r="H4" s="215" t="s">
        <v>305</v>
      </c>
      <c r="I4" s="215" t="s">
        <v>306</v>
      </c>
      <c r="J4" s="215" t="s">
        <v>307</v>
      </c>
      <c r="K4" s="215" t="s">
        <v>308</v>
      </c>
      <c r="L4" s="215" t="s">
        <v>305</v>
      </c>
      <c r="M4" s="215" t="s">
        <v>306</v>
      </c>
      <c r="N4" s="215" t="s">
        <v>307</v>
      </c>
      <c r="O4" s="215" t="s">
        <v>308</v>
      </c>
    </row>
    <row r="5" spans="1:15" ht="12.75">
      <c r="A5" s="216">
        <v>6400000011</v>
      </c>
      <c r="B5" s="217" t="s">
        <v>168</v>
      </c>
      <c r="C5" s="218">
        <v>1280</v>
      </c>
      <c r="D5" s="218">
        <f aca="true" t="shared" si="0" ref="D5:D12">+C5*$D$2</f>
        <v>343.03999999999996</v>
      </c>
      <c r="E5" s="218">
        <f>+D5+C5</f>
        <v>1623.04</v>
      </c>
      <c r="F5" s="219">
        <v>168</v>
      </c>
      <c r="G5" s="220">
        <f>+E5/F5</f>
        <v>9.66095238095238</v>
      </c>
      <c r="H5" s="219">
        <v>55.2</v>
      </c>
      <c r="I5" s="219">
        <v>82.8</v>
      </c>
      <c r="J5" s="219">
        <v>12.5</v>
      </c>
      <c r="K5" s="219">
        <v>17.5</v>
      </c>
      <c r="L5" s="211">
        <f>+$G5*H5</f>
        <v>533.2845714285714</v>
      </c>
      <c r="M5" s="211">
        <f>+$G5*I5</f>
        <v>799.9268571428571</v>
      </c>
      <c r="N5" s="211">
        <f>+$G5*J5</f>
        <v>120.76190476190476</v>
      </c>
      <c r="O5" s="211">
        <f>+$G5*K5</f>
        <v>169.06666666666666</v>
      </c>
    </row>
    <row r="6" spans="1:15" ht="12.75">
      <c r="A6" s="216">
        <v>6400000012</v>
      </c>
      <c r="B6" s="217" t="s">
        <v>169</v>
      </c>
      <c r="C6" s="218">
        <v>1158</v>
      </c>
      <c r="D6" s="218">
        <f t="shared" si="0"/>
        <v>310.34399999999994</v>
      </c>
      <c r="E6" s="218">
        <f aca="true" t="shared" si="1" ref="E6:E12">+D6+C6</f>
        <v>1468.344</v>
      </c>
      <c r="F6" s="219">
        <v>160</v>
      </c>
      <c r="G6" s="220">
        <f aca="true" t="shared" si="2" ref="G6:G12">+E6/F6</f>
        <v>9.177150000000001</v>
      </c>
      <c r="H6" s="219">
        <v>39.3</v>
      </c>
      <c r="I6" s="219">
        <v>91.7</v>
      </c>
      <c r="J6" s="219">
        <v>15</v>
      </c>
      <c r="K6" s="219">
        <v>14</v>
      </c>
      <c r="L6" s="211">
        <f aca="true" t="shared" si="3" ref="L6:O12">+$G6*H6</f>
        <v>360.661995</v>
      </c>
      <c r="M6" s="211">
        <f t="shared" si="3"/>
        <v>841.5446550000001</v>
      </c>
      <c r="N6" s="211">
        <f t="shared" si="3"/>
        <v>137.65725</v>
      </c>
      <c r="O6" s="211">
        <f t="shared" si="3"/>
        <v>128.48010000000002</v>
      </c>
    </row>
    <row r="7" spans="1:15" ht="12.75">
      <c r="A7" s="216">
        <v>6400000013</v>
      </c>
      <c r="B7" s="217" t="s">
        <v>170</v>
      </c>
      <c r="C7" s="218">
        <v>1045</v>
      </c>
      <c r="D7" s="218">
        <f t="shared" si="0"/>
        <v>280.05999999999995</v>
      </c>
      <c r="E7" s="218">
        <f t="shared" si="1"/>
        <v>1325.06</v>
      </c>
      <c r="F7" s="219">
        <v>140</v>
      </c>
      <c r="G7" s="220">
        <f t="shared" si="2"/>
        <v>9.464714285714285</v>
      </c>
      <c r="H7" s="219">
        <v>49.05</v>
      </c>
      <c r="I7" s="219">
        <v>59.95</v>
      </c>
      <c r="J7" s="219">
        <v>12.6</v>
      </c>
      <c r="K7" s="219">
        <v>18.4</v>
      </c>
      <c r="L7" s="211">
        <f t="shared" si="3"/>
        <v>464.24423571428565</v>
      </c>
      <c r="M7" s="211">
        <f t="shared" si="3"/>
        <v>567.4096214285714</v>
      </c>
      <c r="N7" s="211">
        <f t="shared" si="3"/>
        <v>119.25539999999998</v>
      </c>
      <c r="O7" s="211">
        <f t="shared" si="3"/>
        <v>174.15074285714283</v>
      </c>
    </row>
    <row r="8" spans="1:15" ht="12.75">
      <c r="A8" s="216">
        <v>6400000014</v>
      </c>
      <c r="B8" s="217" t="s">
        <v>171</v>
      </c>
      <c r="C8" s="218">
        <v>1258</v>
      </c>
      <c r="D8" s="218">
        <f t="shared" si="0"/>
        <v>337.14399999999995</v>
      </c>
      <c r="E8" s="218">
        <f t="shared" si="1"/>
        <v>1595.144</v>
      </c>
      <c r="F8" s="219">
        <v>157</v>
      </c>
      <c r="G8" s="220">
        <f t="shared" si="2"/>
        <v>10.160152866242038</v>
      </c>
      <c r="H8" s="219">
        <v>52</v>
      </c>
      <c r="I8" s="219">
        <v>78.5</v>
      </c>
      <c r="J8" s="219">
        <v>12.5</v>
      </c>
      <c r="K8" s="219">
        <v>14</v>
      </c>
      <c r="L8" s="211">
        <f t="shared" si="3"/>
        <v>528.327949044586</v>
      </c>
      <c r="M8" s="211">
        <f t="shared" si="3"/>
        <v>797.572</v>
      </c>
      <c r="N8" s="211">
        <f t="shared" si="3"/>
        <v>127.00191082802547</v>
      </c>
      <c r="O8" s="211">
        <f t="shared" si="3"/>
        <v>142.24214012738852</v>
      </c>
    </row>
    <row r="9" spans="1:15" ht="12.75">
      <c r="A9" s="216">
        <v>6400000015</v>
      </c>
      <c r="B9" s="217" t="s">
        <v>172</v>
      </c>
      <c r="C9" s="218">
        <v>1371</v>
      </c>
      <c r="D9" s="218">
        <f t="shared" si="0"/>
        <v>367.42799999999994</v>
      </c>
      <c r="E9" s="218">
        <f t="shared" si="1"/>
        <v>1738.4279999999999</v>
      </c>
      <c r="F9" s="219">
        <v>172</v>
      </c>
      <c r="G9" s="220">
        <f t="shared" si="2"/>
        <v>10.10713953488372</v>
      </c>
      <c r="H9" s="219">
        <v>37.5</v>
      </c>
      <c r="I9" s="219">
        <v>112.5</v>
      </c>
      <c r="J9" s="219">
        <v>9.8</v>
      </c>
      <c r="K9" s="219">
        <v>12.2</v>
      </c>
      <c r="L9" s="211">
        <f t="shared" si="3"/>
        <v>379.01773255813947</v>
      </c>
      <c r="M9" s="211">
        <f t="shared" si="3"/>
        <v>1137.0531976744185</v>
      </c>
      <c r="N9" s="211">
        <f t="shared" si="3"/>
        <v>99.04996744186046</v>
      </c>
      <c r="O9" s="211">
        <f t="shared" si="3"/>
        <v>123.30710232558137</v>
      </c>
    </row>
    <row r="10" spans="1:15" ht="12.75">
      <c r="A10" s="216">
        <v>6400000016</v>
      </c>
      <c r="B10" s="217" t="s">
        <v>173</v>
      </c>
      <c r="C10" s="218">
        <v>1452</v>
      </c>
      <c r="D10" s="218">
        <f t="shared" si="0"/>
        <v>389.13599999999997</v>
      </c>
      <c r="E10" s="218">
        <f t="shared" si="1"/>
        <v>1841.136</v>
      </c>
      <c r="F10" s="219">
        <v>174</v>
      </c>
      <c r="G10" s="220">
        <f t="shared" si="2"/>
        <v>10.581241379310345</v>
      </c>
      <c r="H10" s="219">
        <v>52.7</v>
      </c>
      <c r="I10" s="219">
        <v>102.3</v>
      </c>
      <c r="J10" s="219">
        <v>9</v>
      </c>
      <c r="K10" s="219">
        <v>10</v>
      </c>
      <c r="L10" s="211">
        <f t="shared" si="3"/>
        <v>557.6314206896552</v>
      </c>
      <c r="M10" s="211">
        <f t="shared" si="3"/>
        <v>1082.4609931034483</v>
      </c>
      <c r="N10" s="211">
        <f t="shared" si="3"/>
        <v>95.2311724137931</v>
      </c>
      <c r="O10" s="211">
        <f t="shared" si="3"/>
        <v>105.81241379310345</v>
      </c>
    </row>
    <row r="11" spans="1:15" ht="12.75">
      <c r="A11" s="216">
        <v>6400000017</v>
      </c>
      <c r="B11" s="217" t="s">
        <v>174</v>
      </c>
      <c r="C11" s="218">
        <v>1254</v>
      </c>
      <c r="D11" s="218">
        <f t="shared" si="0"/>
        <v>336.07199999999995</v>
      </c>
      <c r="E11" s="218">
        <f t="shared" si="1"/>
        <v>1590.072</v>
      </c>
      <c r="F11" s="219">
        <v>155</v>
      </c>
      <c r="G11" s="220">
        <f t="shared" si="2"/>
        <v>10.258529032258064</v>
      </c>
      <c r="H11" s="219">
        <v>36.7</v>
      </c>
      <c r="I11" s="219">
        <v>84</v>
      </c>
      <c r="J11" s="219">
        <v>15.3</v>
      </c>
      <c r="K11" s="219">
        <v>19</v>
      </c>
      <c r="L11" s="211">
        <f t="shared" si="3"/>
        <v>376.488015483871</v>
      </c>
      <c r="M11" s="211">
        <f t="shared" si="3"/>
        <v>861.7164387096774</v>
      </c>
      <c r="N11" s="211">
        <f t="shared" si="3"/>
        <v>156.9554941935484</v>
      </c>
      <c r="O11" s="211">
        <f t="shared" si="3"/>
        <v>194.9120516129032</v>
      </c>
    </row>
    <row r="12" spans="1:15" ht="12.75">
      <c r="A12" s="216">
        <v>6400000018</v>
      </c>
      <c r="B12" s="217" t="s">
        <v>175</v>
      </c>
      <c r="C12" s="218">
        <v>1105</v>
      </c>
      <c r="D12" s="218">
        <f t="shared" si="0"/>
        <v>296.13999999999993</v>
      </c>
      <c r="E12" s="218">
        <f t="shared" si="1"/>
        <v>1401.1399999999999</v>
      </c>
      <c r="F12" s="219">
        <v>127</v>
      </c>
      <c r="G12" s="220">
        <f t="shared" si="2"/>
        <v>11.032598425196849</v>
      </c>
      <c r="H12" s="219">
        <v>38.4</v>
      </c>
      <c r="I12" s="219">
        <v>57.6</v>
      </c>
      <c r="J12" s="219">
        <v>14</v>
      </c>
      <c r="K12" s="219">
        <v>17</v>
      </c>
      <c r="L12" s="211">
        <f t="shared" si="3"/>
        <v>423.651779527559</v>
      </c>
      <c r="M12" s="211">
        <f t="shared" si="3"/>
        <v>635.4776692913385</v>
      </c>
      <c r="N12" s="211">
        <f t="shared" si="3"/>
        <v>154.45637795275587</v>
      </c>
      <c r="O12" s="211">
        <f t="shared" si="3"/>
        <v>187.55417322834643</v>
      </c>
    </row>
    <row r="13" spans="3:16" ht="12.75">
      <c r="C13" s="218">
        <f>SUM(C5:C12)</f>
        <v>9923</v>
      </c>
      <c r="D13" s="218">
        <f>SUM(D5:D12)</f>
        <v>2659.3639999999996</v>
      </c>
      <c r="E13" s="8">
        <f>SUM(E5:E12)</f>
        <v>12582.364</v>
      </c>
      <c r="F13" s="219">
        <f>SUM(F5:F12)</f>
        <v>1253</v>
      </c>
      <c r="H13" s="292">
        <f>SUM(H5:K12)</f>
        <v>1253</v>
      </c>
      <c r="I13" s="289"/>
      <c r="J13" s="289"/>
      <c r="K13" s="289"/>
      <c r="L13" s="221">
        <f>SUM(L5:L12)</f>
        <v>3623.307699446668</v>
      </c>
      <c r="M13" s="221">
        <f>SUM(M5:M12)</f>
        <v>6723.161432350311</v>
      </c>
      <c r="N13" s="221">
        <f>SUM(N5:N12)</f>
        <v>1010.369477591888</v>
      </c>
      <c r="O13" s="221">
        <f>SUM(O5:O12)</f>
        <v>1225.5253906111325</v>
      </c>
      <c r="P13" s="222">
        <f>SUM(L13:O13)</f>
        <v>12582.364</v>
      </c>
    </row>
    <row r="15" spans="4:8" ht="12.75">
      <c r="D15" s="62"/>
      <c r="H15" s="223"/>
    </row>
    <row r="16" spans="1:8" ht="15.75">
      <c r="A16" s="192" t="s">
        <v>309</v>
      </c>
      <c r="H16" s="223"/>
    </row>
    <row r="17" spans="1:8" ht="15.75">
      <c r="A17" s="251" t="s">
        <v>336</v>
      </c>
      <c r="H17" s="223"/>
    </row>
    <row r="18" spans="1:8" ht="15.75">
      <c r="A18" s="192" t="s">
        <v>298</v>
      </c>
      <c r="B18" s="102"/>
      <c r="C18" s="291" t="s">
        <v>299</v>
      </c>
      <c r="D18" s="291"/>
      <c r="E18" s="291"/>
      <c r="F18" s="102"/>
      <c r="G18" s="102"/>
      <c r="H18" s="223"/>
    </row>
    <row r="19" spans="1:8" ht="12.75">
      <c r="A19" s="23" t="s">
        <v>0</v>
      </c>
      <c r="B19" s="23" t="s">
        <v>302</v>
      </c>
      <c r="C19" s="214" t="str">
        <f>C4</f>
        <v>640 SyS</v>
      </c>
      <c r="D19" s="214" t="str">
        <f>D4</f>
        <v>642 S.SOC</v>
      </c>
      <c r="E19" s="214" t="s">
        <v>17</v>
      </c>
      <c r="F19" s="23" t="s">
        <v>303</v>
      </c>
      <c r="G19" s="23" t="s">
        <v>304</v>
      </c>
      <c r="H19" s="223"/>
    </row>
    <row r="20" spans="1:8" ht="12.75">
      <c r="A20" s="14">
        <v>6400000020</v>
      </c>
      <c r="B20" s="17" t="s">
        <v>176</v>
      </c>
      <c r="C20" s="218">
        <f>+'saldos-ABC'!C187</f>
        <v>1684</v>
      </c>
      <c r="D20" s="218">
        <f>+C20*$D$2</f>
        <v>451.31199999999995</v>
      </c>
      <c r="E20" s="218">
        <f>+D20+C20</f>
        <v>2135.312</v>
      </c>
      <c r="F20" s="219">
        <v>188</v>
      </c>
      <c r="G20" s="220">
        <f>+E20/F20</f>
        <v>11.358042553191488</v>
      </c>
      <c r="H20" s="223"/>
    </row>
    <row r="21" spans="1:8" ht="12.75">
      <c r="A21" s="14">
        <v>6400000021</v>
      </c>
      <c r="B21" s="17" t="s">
        <v>177</v>
      </c>
      <c r="C21" s="218">
        <f>+'saldos-ABC'!C188</f>
        <v>1795</v>
      </c>
      <c r="D21" s="218">
        <f>+C21*$D$2</f>
        <v>481.05999999999995</v>
      </c>
      <c r="E21" s="218">
        <f>+D21+C21</f>
        <v>2276.06</v>
      </c>
      <c r="F21" s="219">
        <v>184</v>
      </c>
      <c r="G21" s="220">
        <f>+E21/F21</f>
        <v>12.369891304347826</v>
      </c>
      <c r="H21" s="223"/>
    </row>
    <row r="22" spans="1:8" ht="12.75">
      <c r="A22" s="14">
        <v>6400000022</v>
      </c>
      <c r="B22" s="17" t="s">
        <v>178</v>
      </c>
      <c r="C22" s="218">
        <f>+'saldos-ABC'!C189</f>
        <v>1563</v>
      </c>
      <c r="D22" s="218">
        <f>+C22*$D$2</f>
        <v>418.88399999999996</v>
      </c>
      <c r="E22" s="218">
        <f>+D22+C22</f>
        <v>1981.884</v>
      </c>
      <c r="F22" s="219">
        <v>183</v>
      </c>
      <c r="G22" s="220">
        <f>+E22/F22</f>
        <v>10.829967213114754</v>
      </c>
      <c r="H22" s="223"/>
    </row>
    <row r="23" spans="5:8" ht="13.5" customHeight="1">
      <c r="E23" s="222">
        <f>SUM(E20:E22)</f>
        <v>6393.255999999999</v>
      </c>
      <c r="F23" s="224">
        <f>SUM(F20:F22)</f>
        <v>555</v>
      </c>
      <c r="H23" s="225"/>
    </row>
    <row r="24" spans="1:36" ht="63.75">
      <c r="A24" s="226" t="s">
        <v>310</v>
      </c>
      <c r="B24" s="19" t="s">
        <v>188</v>
      </c>
      <c r="C24" s="19" t="s">
        <v>189</v>
      </c>
      <c r="D24" s="19" t="s">
        <v>190</v>
      </c>
      <c r="E24" s="19" t="s">
        <v>191</v>
      </c>
      <c r="F24" s="19" t="s">
        <v>192</v>
      </c>
      <c r="G24" s="19" t="s">
        <v>193</v>
      </c>
      <c r="H24" s="19" t="s">
        <v>194</v>
      </c>
      <c r="I24" s="19" t="s">
        <v>195</v>
      </c>
      <c r="J24" s="19" t="s">
        <v>196</v>
      </c>
      <c r="K24" s="19" t="s">
        <v>29</v>
      </c>
      <c r="L24" s="19" t="s">
        <v>30</v>
      </c>
      <c r="M24" s="19" t="s">
        <v>31</v>
      </c>
      <c r="N24" s="19" t="s">
        <v>32</v>
      </c>
      <c r="O24" s="19" t="s">
        <v>33</v>
      </c>
      <c r="P24" s="19" t="s">
        <v>34</v>
      </c>
      <c r="Q24" s="19" t="s">
        <v>35</v>
      </c>
      <c r="R24" s="19" t="s">
        <v>52</v>
      </c>
      <c r="S24" s="19" t="s">
        <v>54</v>
      </c>
      <c r="T24" s="19" t="s">
        <v>56</v>
      </c>
      <c r="U24" s="19" t="s">
        <v>58</v>
      </c>
      <c r="V24" s="19" t="s">
        <v>60</v>
      </c>
      <c r="W24" s="19" t="s">
        <v>61</v>
      </c>
      <c r="X24" s="19" t="s">
        <v>63</v>
      </c>
      <c r="Y24" s="19" t="s">
        <v>64</v>
      </c>
      <c r="Z24" s="19" t="s">
        <v>66</v>
      </c>
      <c r="AA24" s="19" t="s">
        <v>67</v>
      </c>
      <c r="AB24" s="19" t="s">
        <v>68</v>
      </c>
      <c r="AC24" s="19" t="s">
        <v>311</v>
      </c>
      <c r="AD24" s="19" t="s">
        <v>69</v>
      </c>
      <c r="AE24" s="19" t="s">
        <v>70</v>
      </c>
      <c r="AF24" s="19" t="s">
        <v>72</v>
      </c>
      <c r="AG24" s="19" t="s">
        <v>74</v>
      </c>
      <c r="AI24" s="255" t="s">
        <v>312</v>
      </c>
      <c r="AJ24" s="255" t="s">
        <v>454</v>
      </c>
    </row>
    <row r="25" spans="1:39" ht="12.75">
      <c r="A25" s="227" t="s">
        <v>313</v>
      </c>
      <c r="B25" s="228"/>
      <c r="C25" s="228">
        <v>5</v>
      </c>
      <c r="D25" s="228"/>
      <c r="E25" s="228"/>
      <c r="F25" s="228">
        <v>8</v>
      </c>
      <c r="G25" s="228">
        <v>7</v>
      </c>
      <c r="H25" s="228">
        <v>9</v>
      </c>
      <c r="I25" s="228"/>
      <c r="J25" s="228"/>
      <c r="K25" s="228">
        <v>17</v>
      </c>
      <c r="L25" s="228">
        <v>15</v>
      </c>
      <c r="M25" s="228"/>
      <c r="N25" s="228"/>
      <c r="O25" s="228">
        <v>12</v>
      </c>
      <c r="P25" s="228"/>
      <c r="Q25" s="228"/>
      <c r="R25" s="228"/>
      <c r="S25" s="228"/>
      <c r="T25" s="228">
        <v>5.5</v>
      </c>
      <c r="U25" s="228">
        <v>4</v>
      </c>
      <c r="V25" s="228"/>
      <c r="W25" s="228"/>
      <c r="X25" s="228">
        <v>11</v>
      </c>
      <c r="Y25" s="228"/>
      <c r="Z25" s="228">
        <v>8</v>
      </c>
      <c r="AA25" s="228"/>
      <c r="AB25" s="228"/>
      <c r="AC25" s="228">
        <v>7.5</v>
      </c>
      <c r="AD25" s="228"/>
      <c r="AE25" s="228"/>
      <c r="AF25" s="228"/>
      <c r="AG25" s="228"/>
      <c r="AI25" s="228">
        <v>79</v>
      </c>
      <c r="AJ25" s="229">
        <f>SUM(B25:AI25)</f>
        <v>188</v>
      </c>
      <c r="AM25" s="230"/>
    </row>
    <row r="26" spans="1:39" ht="12.75">
      <c r="A26" s="227" t="s">
        <v>314</v>
      </c>
      <c r="B26" s="228"/>
      <c r="C26" s="228">
        <v>14</v>
      </c>
      <c r="D26" s="228"/>
      <c r="E26" s="228"/>
      <c r="F26" s="228">
        <v>11</v>
      </c>
      <c r="G26" s="228"/>
      <c r="H26" s="228">
        <v>10.5</v>
      </c>
      <c r="I26" s="228"/>
      <c r="J26" s="228">
        <v>13</v>
      </c>
      <c r="K26" s="228"/>
      <c r="L26" s="228"/>
      <c r="M26" s="228">
        <v>8</v>
      </c>
      <c r="N26" s="228"/>
      <c r="O26" s="228">
        <v>14</v>
      </c>
      <c r="P26" s="228"/>
      <c r="Q26" s="228"/>
      <c r="R26" s="228"/>
      <c r="S26" s="228"/>
      <c r="T26" s="228"/>
      <c r="U26" s="228"/>
      <c r="V26" s="228">
        <v>5.5</v>
      </c>
      <c r="W26" s="228"/>
      <c r="X26" s="228"/>
      <c r="Y26" s="228"/>
      <c r="Z26" s="228">
        <v>11</v>
      </c>
      <c r="AA26" s="228"/>
      <c r="AB26" s="228">
        <v>8</v>
      </c>
      <c r="AC26" s="228"/>
      <c r="AD26" s="228"/>
      <c r="AE26" s="228"/>
      <c r="AF26" s="228"/>
      <c r="AG26" s="228"/>
      <c r="AI26" s="228">
        <v>89</v>
      </c>
      <c r="AJ26" s="229">
        <f>SUM(B26:AI26)</f>
        <v>184</v>
      </c>
      <c r="AM26" s="230"/>
    </row>
    <row r="27" spans="1:39" ht="13.5" thickBot="1">
      <c r="A27" s="231" t="s">
        <v>315</v>
      </c>
      <c r="B27" s="232">
        <v>18</v>
      </c>
      <c r="C27" s="232"/>
      <c r="D27" s="232"/>
      <c r="E27" s="232"/>
      <c r="F27" s="232"/>
      <c r="G27" s="232"/>
      <c r="H27" s="232"/>
      <c r="I27" s="232"/>
      <c r="J27" s="232"/>
      <c r="K27" s="232">
        <v>12</v>
      </c>
      <c r="L27" s="232"/>
      <c r="M27" s="232"/>
      <c r="N27" s="232"/>
      <c r="O27" s="232"/>
      <c r="P27" s="232"/>
      <c r="Q27" s="232">
        <v>4.5</v>
      </c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I27" s="232">
        <v>148.5</v>
      </c>
      <c r="AJ27" s="229">
        <f>SUM(B27:AI27)</f>
        <v>183</v>
      </c>
      <c r="AM27" s="230"/>
    </row>
    <row r="28" spans="1:36" ht="13.5" thickBot="1">
      <c r="A28" s="233" t="s">
        <v>316</v>
      </c>
      <c r="B28" s="234">
        <f>SUM(B25:B27)</f>
        <v>18</v>
      </c>
      <c r="C28" s="234">
        <f aca="true" t="shared" si="4" ref="C28:AJ28">SUM(C25:C27)</f>
        <v>19</v>
      </c>
      <c r="D28" s="234">
        <f t="shared" si="4"/>
        <v>0</v>
      </c>
      <c r="E28" s="234">
        <f t="shared" si="4"/>
        <v>0</v>
      </c>
      <c r="F28" s="234">
        <f t="shared" si="4"/>
        <v>19</v>
      </c>
      <c r="G28" s="234">
        <f t="shared" si="4"/>
        <v>7</v>
      </c>
      <c r="H28" s="234">
        <f t="shared" si="4"/>
        <v>19.5</v>
      </c>
      <c r="I28" s="234">
        <f t="shared" si="4"/>
        <v>0</v>
      </c>
      <c r="J28" s="234">
        <f t="shared" si="4"/>
        <v>13</v>
      </c>
      <c r="K28" s="234">
        <f t="shared" si="4"/>
        <v>29</v>
      </c>
      <c r="L28" s="234">
        <f t="shared" si="4"/>
        <v>15</v>
      </c>
      <c r="M28" s="234">
        <f t="shared" si="4"/>
        <v>8</v>
      </c>
      <c r="N28" s="234">
        <f t="shared" si="4"/>
        <v>0</v>
      </c>
      <c r="O28" s="234">
        <f t="shared" si="4"/>
        <v>26</v>
      </c>
      <c r="P28" s="234">
        <f t="shared" si="4"/>
        <v>0</v>
      </c>
      <c r="Q28" s="234">
        <f t="shared" si="4"/>
        <v>4.5</v>
      </c>
      <c r="R28" s="234">
        <f t="shared" si="4"/>
        <v>0</v>
      </c>
      <c r="S28" s="234">
        <f t="shared" si="4"/>
        <v>0</v>
      </c>
      <c r="T28" s="234">
        <f t="shared" si="4"/>
        <v>5.5</v>
      </c>
      <c r="U28" s="234">
        <f t="shared" si="4"/>
        <v>4</v>
      </c>
      <c r="V28" s="234">
        <f t="shared" si="4"/>
        <v>5.5</v>
      </c>
      <c r="W28" s="234">
        <f t="shared" si="4"/>
        <v>0</v>
      </c>
      <c r="X28" s="234">
        <f t="shared" si="4"/>
        <v>11</v>
      </c>
      <c r="Y28" s="234">
        <f t="shared" si="4"/>
        <v>0</v>
      </c>
      <c r="Z28" s="234">
        <f t="shared" si="4"/>
        <v>19</v>
      </c>
      <c r="AA28" s="234">
        <f t="shared" si="4"/>
        <v>0</v>
      </c>
      <c r="AB28" s="234">
        <f t="shared" si="4"/>
        <v>8</v>
      </c>
      <c r="AC28" s="234">
        <f t="shared" si="4"/>
        <v>7.5</v>
      </c>
      <c r="AD28" s="234">
        <f t="shared" si="4"/>
        <v>0</v>
      </c>
      <c r="AE28" s="234">
        <f t="shared" si="4"/>
        <v>0</v>
      </c>
      <c r="AF28" s="234">
        <f t="shared" si="4"/>
        <v>0</v>
      </c>
      <c r="AG28" s="234">
        <f t="shared" si="4"/>
        <v>0</v>
      </c>
      <c r="AI28" s="234">
        <f t="shared" si="4"/>
        <v>316.5</v>
      </c>
      <c r="AJ28" s="234">
        <f t="shared" si="4"/>
        <v>555</v>
      </c>
    </row>
    <row r="29" spans="1:36" ht="13.5" thickBot="1">
      <c r="A29" s="235" t="s">
        <v>317</v>
      </c>
      <c r="B29" s="236">
        <f>+B25*$G$20+B26*$G$21+B27*$G$22</f>
        <v>194.93940983606558</v>
      </c>
      <c r="C29" s="236">
        <f aca="true" t="shared" si="5" ref="C29:AI29">+C25*$G$20+C26*$G$21+C27*$G$22</f>
        <v>229.968691026827</v>
      </c>
      <c r="D29" s="236">
        <f t="shared" si="5"/>
        <v>0</v>
      </c>
      <c r="E29" s="236">
        <f t="shared" si="5"/>
        <v>0</v>
      </c>
      <c r="F29" s="236">
        <f t="shared" si="5"/>
        <v>226.93314477335798</v>
      </c>
      <c r="G29" s="236">
        <f t="shared" si="5"/>
        <v>79.50629787234041</v>
      </c>
      <c r="H29" s="236">
        <f t="shared" si="5"/>
        <v>232.10624167437558</v>
      </c>
      <c r="I29" s="236">
        <f t="shared" si="5"/>
        <v>0</v>
      </c>
      <c r="J29" s="236">
        <f t="shared" si="5"/>
        <v>160.80858695652174</v>
      </c>
      <c r="K29" s="236">
        <f t="shared" si="5"/>
        <v>323.04632996163235</v>
      </c>
      <c r="L29" s="236">
        <f t="shared" si="5"/>
        <v>170.37063829787232</v>
      </c>
      <c r="M29" s="236">
        <f t="shared" si="5"/>
        <v>98.95913043478261</v>
      </c>
      <c r="N29" s="236">
        <f t="shared" si="5"/>
        <v>0</v>
      </c>
      <c r="O29" s="236">
        <f t="shared" si="5"/>
        <v>309.47498889916744</v>
      </c>
      <c r="P29" s="236">
        <f t="shared" si="5"/>
        <v>0</v>
      </c>
      <c r="Q29" s="236">
        <f t="shared" si="5"/>
        <v>48.734852459016395</v>
      </c>
      <c r="R29" s="236">
        <f t="shared" si="5"/>
        <v>0</v>
      </c>
      <c r="S29" s="236">
        <f t="shared" si="5"/>
        <v>0</v>
      </c>
      <c r="T29" s="236">
        <f t="shared" si="5"/>
        <v>62.46923404255318</v>
      </c>
      <c r="U29" s="236">
        <f t="shared" si="5"/>
        <v>45.43217021276595</v>
      </c>
      <c r="V29" s="236">
        <f t="shared" si="5"/>
        <v>68.03440217391304</v>
      </c>
      <c r="W29" s="236">
        <f t="shared" si="5"/>
        <v>0</v>
      </c>
      <c r="X29" s="236">
        <f t="shared" si="5"/>
        <v>124.93846808510636</v>
      </c>
      <c r="Y29" s="236">
        <f t="shared" si="5"/>
        <v>0</v>
      </c>
      <c r="Z29" s="236">
        <f t="shared" si="5"/>
        <v>226.93314477335798</v>
      </c>
      <c r="AA29" s="236">
        <f t="shared" si="5"/>
        <v>0</v>
      </c>
      <c r="AB29" s="236">
        <f t="shared" si="5"/>
        <v>98.95913043478261</v>
      </c>
      <c r="AC29" s="236">
        <f t="shared" si="5"/>
        <v>85.18531914893616</v>
      </c>
      <c r="AD29" s="236">
        <f t="shared" si="5"/>
        <v>0</v>
      </c>
      <c r="AE29" s="236">
        <f t="shared" si="5"/>
        <v>0</v>
      </c>
      <c r="AF29" s="236">
        <f t="shared" si="5"/>
        <v>0</v>
      </c>
      <c r="AG29" s="236">
        <f t="shared" si="5"/>
        <v>0</v>
      </c>
      <c r="AH29" s="237">
        <f>SUM(B29:AG29)</f>
        <v>2786.8001810633746</v>
      </c>
      <c r="AI29" s="237">
        <f t="shared" si="5"/>
        <v>3606.4558189366253</v>
      </c>
      <c r="AJ29" s="237">
        <f>+AH29+AI29</f>
        <v>6393.255999999999</v>
      </c>
    </row>
    <row r="30" spans="2:35" ht="12.75">
      <c r="B30" s="13"/>
      <c r="C30" s="238"/>
      <c r="D30" s="238"/>
      <c r="E30" s="238"/>
      <c r="AH30" t="s">
        <v>318</v>
      </c>
      <c r="AI30" t="s">
        <v>319</v>
      </c>
    </row>
    <row r="31" spans="2:5" ht="12.75">
      <c r="B31" s="13"/>
      <c r="C31" s="238"/>
      <c r="D31" s="238"/>
      <c r="E31" s="238"/>
    </row>
    <row r="32" spans="2:5" ht="12.75">
      <c r="B32" s="13"/>
      <c r="C32" s="238"/>
      <c r="D32" s="238"/>
      <c r="E32" s="238"/>
    </row>
    <row r="33" spans="2:5" ht="12.75">
      <c r="B33" s="13"/>
      <c r="C33" s="238"/>
      <c r="D33" s="238"/>
      <c r="E33" s="238"/>
    </row>
    <row r="34" spans="2:5" ht="12.75">
      <c r="B34" s="13"/>
      <c r="C34" s="238"/>
      <c r="D34" s="238"/>
      <c r="E34" s="238"/>
    </row>
    <row r="35" spans="2:5" ht="12.75">
      <c r="B35" s="13"/>
      <c r="C35" s="238"/>
      <c r="D35" s="238"/>
      <c r="E35" s="238"/>
    </row>
    <row r="36" spans="2:5" ht="12.75">
      <c r="B36" s="13"/>
      <c r="C36" s="238"/>
      <c r="D36" s="238"/>
      <c r="E36" s="238"/>
    </row>
    <row r="37" spans="2:5" ht="12.75">
      <c r="B37" s="13"/>
      <c r="C37" s="238"/>
      <c r="D37" s="238"/>
      <c r="E37" s="238"/>
    </row>
    <row r="38" spans="2:5" ht="12.75">
      <c r="B38" s="13"/>
      <c r="C38" s="238"/>
      <c r="D38" s="238"/>
      <c r="E38" s="238"/>
    </row>
    <row r="39" spans="2:5" ht="12.75">
      <c r="B39" s="13"/>
      <c r="C39" s="238"/>
      <c r="D39" s="238"/>
      <c r="E39" s="238"/>
    </row>
    <row r="40" spans="2:5" ht="12.75">
      <c r="B40" s="13"/>
      <c r="C40" s="238"/>
      <c r="D40" s="238"/>
      <c r="E40" s="238"/>
    </row>
    <row r="41" spans="2:5" ht="12.75">
      <c r="B41" s="13"/>
      <c r="C41" s="238"/>
      <c r="D41" s="238"/>
      <c r="E41" s="238"/>
    </row>
    <row r="42" spans="2:5" ht="12.75">
      <c r="B42" s="13"/>
      <c r="C42" s="238"/>
      <c r="D42" s="238"/>
      <c r="E42" s="238"/>
    </row>
    <row r="43" spans="2:5" ht="12.75">
      <c r="B43" s="13"/>
      <c r="C43" s="238"/>
      <c r="D43" s="238"/>
      <c r="E43" s="238"/>
    </row>
    <row r="44" spans="2:5" ht="12.75">
      <c r="B44" s="13"/>
      <c r="C44" s="238"/>
      <c r="D44" s="238"/>
      <c r="E44" s="238"/>
    </row>
    <row r="45" spans="2:5" ht="12.75">
      <c r="B45" s="13"/>
      <c r="C45" s="238"/>
      <c r="D45" s="238"/>
      <c r="E45" s="238"/>
    </row>
    <row r="46" spans="2:5" ht="12.75">
      <c r="B46" s="13"/>
      <c r="C46" s="238"/>
      <c r="D46" s="238"/>
      <c r="E46" s="238"/>
    </row>
    <row r="47" spans="2:5" ht="12.75">
      <c r="B47" s="13"/>
      <c r="C47" s="238"/>
      <c r="D47" s="238"/>
      <c r="E47" s="238"/>
    </row>
    <row r="48" spans="2:5" ht="12.75">
      <c r="B48" s="13"/>
      <c r="C48" s="238"/>
      <c r="D48" s="238"/>
      <c r="E48" s="238"/>
    </row>
    <row r="49" spans="2:5" ht="12.75">
      <c r="B49" s="13"/>
      <c r="C49" s="238"/>
      <c r="D49" s="238"/>
      <c r="E49" s="238"/>
    </row>
    <row r="50" spans="2:5" ht="12.75">
      <c r="B50" s="13"/>
      <c r="C50" s="238"/>
      <c r="D50" s="238"/>
      <c r="E50" s="238"/>
    </row>
    <row r="51" spans="2:5" ht="12.75">
      <c r="B51" s="13"/>
      <c r="C51" s="238"/>
      <c r="D51" s="238"/>
      <c r="E51" s="238"/>
    </row>
    <row r="52" spans="2:5" ht="12.75">
      <c r="B52" s="13"/>
      <c r="C52" s="238"/>
      <c r="D52" s="238"/>
      <c r="E52" s="238"/>
    </row>
    <row r="53" spans="2:5" ht="12.75">
      <c r="B53" s="13"/>
      <c r="C53" s="238"/>
      <c r="D53" s="238"/>
      <c r="E53" s="238"/>
    </row>
    <row r="54" spans="2:5" ht="12.75">
      <c r="B54" s="13"/>
      <c r="C54" s="238"/>
      <c r="D54" s="238"/>
      <c r="E54" s="238"/>
    </row>
    <row r="55" spans="2:5" ht="12.75">
      <c r="B55" s="13"/>
      <c r="C55" s="238"/>
      <c r="D55" s="238"/>
      <c r="E55" s="238"/>
    </row>
    <row r="56" spans="2:5" ht="12.75">
      <c r="B56" s="13"/>
      <c r="C56" s="238"/>
      <c r="D56" s="238"/>
      <c r="E56" s="238"/>
    </row>
    <row r="57" spans="2:5" ht="12.75">
      <c r="B57" s="2"/>
      <c r="C57" s="238"/>
      <c r="D57" s="238"/>
      <c r="E57" s="238"/>
    </row>
    <row r="58" spans="2:5" ht="12.75">
      <c r="B58" s="239"/>
      <c r="C58" s="238"/>
      <c r="D58" s="238"/>
      <c r="E58" s="238"/>
    </row>
    <row r="59" spans="2:5" ht="12.75">
      <c r="B59" s="2"/>
      <c r="C59" s="240"/>
      <c r="D59" s="240"/>
      <c r="E59" s="240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</sheetData>
  <sheetProtection/>
  <mergeCells count="5">
    <mergeCell ref="C3:E3"/>
    <mergeCell ref="H3:K3"/>
    <mergeCell ref="L3:O3"/>
    <mergeCell ref="H13:K13"/>
    <mergeCell ref="C18:E18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76"/>
  <sheetViews>
    <sheetView zoomScalePageLayoutView="0" workbookViewId="0" topLeftCell="A1">
      <pane xSplit="4" ySplit="5" topLeftCell="E17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94" sqref="B194"/>
    </sheetView>
  </sheetViews>
  <sheetFormatPr defaultColWidth="11.421875" defaultRowHeight="12.75"/>
  <cols>
    <col min="1" max="1" width="14.7109375" style="0" customWidth="1"/>
    <col min="2" max="2" width="46.00390625" style="0" customWidth="1"/>
    <col min="3" max="3" width="10.7109375" style="0" bestFit="1" customWidth="1"/>
    <col min="4" max="4" width="20.7109375" style="2" customWidth="1"/>
    <col min="5" max="5" width="15.00390625" style="27" customWidth="1"/>
    <col min="6" max="6" width="19.140625" style="27" customWidth="1"/>
    <col min="7" max="7" width="21.57421875" style="27" customWidth="1"/>
    <col min="8" max="9" width="19.00390625" style="27" bestFit="1" customWidth="1"/>
    <col min="10" max="10" width="18.28125" style="27" customWidth="1"/>
    <col min="11" max="11" width="18.140625" style="27" customWidth="1"/>
    <col min="12" max="12" width="18.28125" style="27" customWidth="1"/>
    <col min="13" max="13" width="16.28125" style="27" customWidth="1"/>
    <col min="14" max="14" width="15.28125" style="27" bestFit="1" customWidth="1"/>
    <col min="15" max="15" width="23.57421875" style="27" bestFit="1" customWidth="1"/>
    <col min="16" max="16" width="21.28125" style="27" customWidth="1"/>
    <col min="17" max="17" width="11.421875" style="27" customWidth="1"/>
    <col min="18" max="18" width="20.57421875" style="27" customWidth="1"/>
    <col min="19" max="19" width="21.28125" style="27" customWidth="1"/>
    <col min="20" max="20" width="20.57421875" style="27" customWidth="1"/>
    <col min="21" max="21" width="21.140625" style="2" customWidth="1"/>
    <col min="22" max="22" width="13.7109375" style="2" customWidth="1"/>
    <col min="24" max="24" width="22.28125" style="0" customWidth="1"/>
    <col min="25" max="25" width="22.8515625" style="0" customWidth="1"/>
    <col min="27" max="27" width="24.28125" style="0" customWidth="1"/>
    <col min="28" max="28" width="24.421875" style="0" customWidth="1"/>
    <col min="29" max="29" width="22.8515625" style="0" customWidth="1"/>
    <col min="30" max="30" width="21.28125" style="0" customWidth="1"/>
    <col min="31" max="31" width="16.00390625" style="0" customWidth="1"/>
    <col min="32" max="32" width="21.421875" style="0" customWidth="1"/>
    <col min="36" max="36" width="12.28125" style="0" customWidth="1"/>
    <col min="39" max="39" width="15.57421875" style="0" customWidth="1"/>
    <col min="49" max="49" width="21.8515625" style="0" bestFit="1" customWidth="1"/>
    <col min="50" max="50" width="24.421875" style="0" bestFit="1" customWidth="1"/>
  </cols>
  <sheetData>
    <row r="1" spans="1:48" s="163" customFormat="1" ht="15.75" customHeight="1">
      <c r="A1" s="295" t="s">
        <v>336</v>
      </c>
      <c r="B1" s="296"/>
      <c r="C1" s="299" t="str">
        <f>IF(ABS(SALDOPYG+'rdo por cliente'!$C$38)&lt;0.0000001,":)",":(")</f>
        <v>:)</v>
      </c>
      <c r="D1" s="23" t="s">
        <v>212</v>
      </c>
      <c r="E1" s="301" t="s">
        <v>85</v>
      </c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 t="s">
        <v>90</v>
      </c>
      <c r="AL1" s="301"/>
      <c r="AM1" s="301"/>
      <c r="AN1" s="301"/>
      <c r="AO1" s="301"/>
      <c r="AP1" s="301"/>
      <c r="AQ1" s="301"/>
      <c r="AR1" s="301" t="s">
        <v>96</v>
      </c>
      <c r="AS1" s="301"/>
      <c r="AT1" s="301"/>
      <c r="AU1" s="301"/>
      <c r="AV1" s="301"/>
    </row>
    <row r="2" spans="1:48" s="163" customFormat="1" ht="15.75" customHeight="1" thickBot="1">
      <c r="A2" s="297"/>
      <c r="B2" s="298"/>
      <c r="C2" s="300"/>
      <c r="D2" s="23" t="s">
        <v>211</v>
      </c>
      <c r="E2" s="301" t="s">
        <v>48</v>
      </c>
      <c r="F2" s="301"/>
      <c r="G2" s="301"/>
      <c r="H2" s="301" t="s">
        <v>49</v>
      </c>
      <c r="I2" s="301"/>
      <c r="J2" s="301"/>
      <c r="K2" s="301"/>
      <c r="L2" s="301" t="s">
        <v>50</v>
      </c>
      <c r="M2" s="301"/>
      <c r="N2" s="301"/>
      <c r="O2" s="301"/>
      <c r="P2" s="301"/>
      <c r="Q2" s="301"/>
      <c r="R2" s="301"/>
      <c r="S2" s="301" t="s">
        <v>51</v>
      </c>
      <c r="T2" s="301"/>
      <c r="U2" s="301"/>
      <c r="V2" s="301"/>
      <c r="W2" s="301" t="s">
        <v>77</v>
      </c>
      <c r="X2" s="301"/>
      <c r="Y2" s="301"/>
      <c r="Z2" s="301" t="s">
        <v>78</v>
      </c>
      <c r="AA2" s="301"/>
      <c r="AB2" s="301" t="s">
        <v>79</v>
      </c>
      <c r="AC2" s="301"/>
      <c r="AD2" s="301" t="s">
        <v>80</v>
      </c>
      <c r="AE2" s="301"/>
      <c r="AF2" s="301"/>
      <c r="AG2" s="164" t="s">
        <v>81</v>
      </c>
      <c r="AH2" s="164" t="s">
        <v>82</v>
      </c>
      <c r="AI2" s="164" t="s">
        <v>83</v>
      </c>
      <c r="AJ2" s="164" t="s">
        <v>84</v>
      </c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</row>
    <row r="3" spans="1:48" s="166" customFormat="1" ht="36" customHeight="1" thickBot="1">
      <c r="A3" s="293" t="s">
        <v>265</v>
      </c>
      <c r="B3" s="294"/>
      <c r="C3" s="171" t="str">
        <f>IF(ABS(SALDOPYG+'rdo por prod'!B12)&lt;0.0000001,":)",":(")</f>
        <v>:)</v>
      </c>
      <c r="D3" s="25" t="s">
        <v>210</v>
      </c>
      <c r="E3" s="164" t="s">
        <v>188</v>
      </c>
      <c r="F3" s="164" t="s">
        <v>189</v>
      </c>
      <c r="G3" s="164" t="s">
        <v>190</v>
      </c>
      <c r="H3" s="164" t="s">
        <v>191</v>
      </c>
      <c r="I3" s="164" t="s">
        <v>192</v>
      </c>
      <c r="J3" s="164" t="s">
        <v>193</v>
      </c>
      <c r="K3" s="164" t="s">
        <v>194</v>
      </c>
      <c r="L3" s="164" t="s">
        <v>195</v>
      </c>
      <c r="M3" s="164" t="s">
        <v>196</v>
      </c>
      <c r="N3" s="164" t="s">
        <v>29</v>
      </c>
      <c r="O3" s="164" t="s">
        <v>30</v>
      </c>
      <c r="P3" s="164" t="s">
        <v>31</v>
      </c>
      <c r="Q3" s="164" t="s">
        <v>32</v>
      </c>
      <c r="R3" s="164" t="s">
        <v>33</v>
      </c>
      <c r="S3" s="164" t="s">
        <v>34</v>
      </c>
      <c r="T3" s="164" t="s">
        <v>35</v>
      </c>
      <c r="U3" s="164" t="s">
        <v>52</v>
      </c>
      <c r="V3" s="164" t="s">
        <v>54</v>
      </c>
      <c r="W3" s="164" t="s">
        <v>56</v>
      </c>
      <c r="X3" s="164" t="s">
        <v>58</v>
      </c>
      <c r="Y3" s="164" t="s">
        <v>60</v>
      </c>
      <c r="Z3" s="164" t="s">
        <v>61</v>
      </c>
      <c r="AA3" s="164" t="s">
        <v>63</v>
      </c>
      <c r="AB3" s="164" t="s">
        <v>64</v>
      </c>
      <c r="AC3" s="164" t="s">
        <v>66</v>
      </c>
      <c r="AD3" s="164" t="s">
        <v>67</v>
      </c>
      <c r="AE3" s="164" t="s">
        <v>68</v>
      </c>
      <c r="AF3" s="164" t="s">
        <v>219</v>
      </c>
      <c r="AG3" s="164" t="s">
        <v>69</v>
      </c>
      <c r="AH3" s="164" t="s">
        <v>70</v>
      </c>
      <c r="AI3" s="164" t="s">
        <v>72</v>
      </c>
      <c r="AJ3" s="164" t="s">
        <v>74</v>
      </c>
      <c r="AK3" s="165" t="s">
        <v>134</v>
      </c>
      <c r="AL3" s="165" t="s">
        <v>135</v>
      </c>
      <c r="AM3" s="165" t="s">
        <v>136</v>
      </c>
      <c r="AN3" s="165" t="s">
        <v>137</v>
      </c>
      <c r="AO3" s="165" t="s">
        <v>138</v>
      </c>
      <c r="AP3" s="165" t="s">
        <v>139</v>
      </c>
      <c r="AQ3" s="165" t="s">
        <v>140</v>
      </c>
      <c r="AR3" s="165" t="s">
        <v>131</v>
      </c>
      <c r="AS3" s="165" t="s">
        <v>130</v>
      </c>
      <c r="AT3" s="165" t="s">
        <v>93</v>
      </c>
      <c r="AU3" s="165" t="s">
        <v>132</v>
      </c>
      <c r="AV3" s="165" t="s">
        <v>133</v>
      </c>
    </row>
    <row r="4" spans="1:48" s="163" customFormat="1" ht="30" customHeight="1" thickBot="1">
      <c r="A4" s="252" t="s">
        <v>345</v>
      </c>
      <c r="B4" s="172">
        <f>SUM(C136:C253)</f>
        <v>-26268.082578963473</v>
      </c>
      <c r="C4" s="171" t="str">
        <f>IF(ABS(SUM(C6:C253))&lt;0.0000001,":)",":(")</f>
        <v>:)</v>
      </c>
      <c r="D4" s="169" t="s">
        <v>209</v>
      </c>
      <c r="E4" s="164" t="s">
        <v>36</v>
      </c>
      <c r="F4" s="164" t="s">
        <v>37</v>
      </c>
      <c r="G4" s="164" t="s">
        <v>37</v>
      </c>
      <c r="H4" s="164" t="s">
        <v>37</v>
      </c>
      <c r="I4" s="164" t="s">
        <v>37</v>
      </c>
      <c r="J4" s="164" t="s">
        <v>37</v>
      </c>
      <c r="K4" s="164" t="s">
        <v>37</v>
      </c>
      <c r="L4" s="164" t="s">
        <v>37</v>
      </c>
      <c r="M4" s="164" t="s">
        <v>36</v>
      </c>
      <c r="N4" s="164" t="s">
        <v>37</v>
      </c>
      <c r="O4" s="164" t="s">
        <v>37</v>
      </c>
      <c r="P4" s="164" t="s">
        <v>37</v>
      </c>
      <c r="Q4" s="164" t="s">
        <v>36</v>
      </c>
      <c r="R4" s="164" t="s">
        <v>37</v>
      </c>
      <c r="S4" s="164" t="s">
        <v>36</v>
      </c>
      <c r="T4" s="164" t="s">
        <v>36</v>
      </c>
      <c r="U4" s="164" t="s">
        <v>37</v>
      </c>
      <c r="V4" s="164" t="s">
        <v>36</v>
      </c>
      <c r="W4" s="164" t="s">
        <v>36</v>
      </c>
      <c r="X4" s="164" t="s">
        <v>37</v>
      </c>
      <c r="Y4" s="164" t="s">
        <v>37</v>
      </c>
      <c r="Z4" s="164" t="s">
        <v>36</v>
      </c>
      <c r="AA4" s="164" t="s">
        <v>37</v>
      </c>
      <c r="AB4" s="164" t="s">
        <v>36</v>
      </c>
      <c r="AC4" s="164" t="s">
        <v>37</v>
      </c>
      <c r="AD4" s="164" t="s">
        <v>37</v>
      </c>
      <c r="AE4" s="164" t="s">
        <v>37</v>
      </c>
      <c r="AF4" s="164" t="s">
        <v>37</v>
      </c>
      <c r="AG4" s="164" t="s">
        <v>37</v>
      </c>
      <c r="AH4" s="164" t="s">
        <v>71</v>
      </c>
      <c r="AI4" s="164" t="s">
        <v>36</v>
      </c>
      <c r="AJ4" s="164" t="s">
        <v>75</v>
      </c>
      <c r="AK4" s="167" t="s">
        <v>86</v>
      </c>
      <c r="AL4" s="167" t="s">
        <v>71</v>
      </c>
      <c r="AM4" s="167" t="s">
        <v>36</v>
      </c>
      <c r="AN4" s="167" t="s">
        <v>86</v>
      </c>
      <c r="AO4" s="167" t="s">
        <v>86</v>
      </c>
      <c r="AP4" s="167" t="s">
        <v>86</v>
      </c>
      <c r="AQ4" s="167" t="s">
        <v>86</v>
      </c>
      <c r="AR4" s="167" t="s">
        <v>71</v>
      </c>
      <c r="AS4" s="167" t="s">
        <v>71</v>
      </c>
      <c r="AT4" s="167" t="s">
        <v>86</v>
      </c>
      <c r="AU4" s="167" t="s">
        <v>71</v>
      </c>
      <c r="AV4" s="167" t="s">
        <v>86</v>
      </c>
    </row>
    <row r="5" spans="1:48" s="166" customFormat="1" ht="34.5" customHeight="1">
      <c r="A5" s="26" t="s">
        <v>0</v>
      </c>
      <c r="B5" s="24" t="s">
        <v>1</v>
      </c>
      <c r="C5" s="147" t="s">
        <v>2</v>
      </c>
      <c r="D5" s="25" t="s">
        <v>208</v>
      </c>
      <c r="E5" s="164" t="s">
        <v>38</v>
      </c>
      <c r="F5" s="164" t="s">
        <v>39</v>
      </c>
      <c r="G5" s="164" t="s">
        <v>39</v>
      </c>
      <c r="H5" s="164" t="s">
        <v>40</v>
      </c>
      <c r="I5" s="164" t="s">
        <v>39</v>
      </c>
      <c r="J5" s="164" t="s">
        <v>41</v>
      </c>
      <c r="K5" s="164" t="s">
        <v>39</v>
      </c>
      <c r="L5" s="164" t="s">
        <v>42</v>
      </c>
      <c r="M5" s="164" t="s">
        <v>43</v>
      </c>
      <c r="N5" s="164" t="s">
        <v>43</v>
      </c>
      <c r="O5" s="164" t="s">
        <v>44</v>
      </c>
      <c r="P5" s="164" t="s">
        <v>45</v>
      </c>
      <c r="Q5" s="164" t="s">
        <v>46</v>
      </c>
      <c r="R5" s="164" t="s">
        <v>47</v>
      </c>
      <c r="S5" s="164" t="s">
        <v>224</v>
      </c>
      <c r="T5" s="164" t="s">
        <v>224</v>
      </c>
      <c r="U5" s="164" t="s">
        <v>53</v>
      </c>
      <c r="V5" s="164" t="s">
        <v>55</v>
      </c>
      <c r="W5" s="164" t="s">
        <v>57</v>
      </c>
      <c r="X5" s="164" t="s">
        <v>59</v>
      </c>
      <c r="Y5" s="164" t="s">
        <v>217</v>
      </c>
      <c r="Z5" s="164" t="s">
        <v>62</v>
      </c>
      <c r="AA5" s="164" t="s">
        <v>217</v>
      </c>
      <c r="AB5" s="164" t="s">
        <v>65</v>
      </c>
      <c r="AC5" s="164" t="s">
        <v>217</v>
      </c>
      <c r="AD5" s="164" t="s">
        <v>231</v>
      </c>
      <c r="AE5" s="164" t="s">
        <v>232</v>
      </c>
      <c r="AF5" s="164" t="s">
        <v>218</v>
      </c>
      <c r="AG5" s="164" t="s">
        <v>234</v>
      </c>
      <c r="AH5" s="164" t="s">
        <v>235</v>
      </c>
      <c r="AI5" s="164" t="s">
        <v>73</v>
      </c>
      <c r="AJ5" s="164" t="s">
        <v>76</v>
      </c>
      <c r="AK5" s="165" t="s">
        <v>87</v>
      </c>
      <c r="AL5" s="165" t="s">
        <v>88</v>
      </c>
      <c r="AM5" s="165" t="s">
        <v>89</v>
      </c>
      <c r="AN5" s="165" t="s">
        <v>87</v>
      </c>
      <c r="AO5" s="165" t="s">
        <v>87</v>
      </c>
      <c r="AP5" s="165" t="s">
        <v>87</v>
      </c>
      <c r="AQ5" s="165" t="s">
        <v>87</v>
      </c>
      <c r="AR5" s="165" t="s">
        <v>91</v>
      </c>
      <c r="AS5" s="165" t="s">
        <v>92</v>
      </c>
      <c r="AT5" s="165" t="s">
        <v>87</v>
      </c>
      <c r="AU5" s="165" t="s">
        <v>94</v>
      </c>
      <c r="AV5" s="165" t="s">
        <v>95</v>
      </c>
    </row>
    <row r="6" spans="1:23" ht="12.75" customHeight="1">
      <c r="A6" s="20">
        <v>1000000001</v>
      </c>
      <c r="B6" s="21" t="s">
        <v>3</v>
      </c>
      <c r="C6" s="22">
        <v>-480000</v>
      </c>
      <c r="D6" s="14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3"/>
      <c r="V6" s="13"/>
      <c r="W6" s="13"/>
    </row>
    <row r="7" spans="1:23" ht="12.75" customHeight="1" hidden="1">
      <c r="A7" s="14">
        <v>1130000001</v>
      </c>
      <c r="B7" s="16" t="s">
        <v>99</v>
      </c>
      <c r="C7" s="18">
        <v>-439505.043333333</v>
      </c>
      <c r="D7" s="2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3"/>
      <c r="V7" s="13"/>
      <c r="W7" s="13"/>
    </row>
    <row r="8" spans="1:23" ht="12.75" hidden="1">
      <c r="A8" s="14">
        <v>1700006314</v>
      </c>
      <c r="B8" s="16" t="s">
        <v>100</v>
      </c>
      <c r="C8" s="18">
        <v>-474965.24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3"/>
      <c r="V8" s="13"/>
      <c r="W8" s="13"/>
    </row>
    <row r="9" spans="1:23" ht="12.75" hidden="1">
      <c r="A9" s="14">
        <v>2030000001</v>
      </c>
      <c r="B9" s="17" t="s">
        <v>97</v>
      </c>
      <c r="C9" s="174">
        <v>5200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3"/>
      <c r="V9" s="13"/>
      <c r="W9" s="13"/>
    </row>
    <row r="10" spans="1:23" ht="12.75" hidden="1">
      <c r="A10" s="14">
        <v>2030000002</v>
      </c>
      <c r="B10" s="17" t="s">
        <v>98</v>
      </c>
      <c r="C10" s="174">
        <v>6800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3"/>
      <c r="V10" s="13"/>
      <c r="W10" s="13"/>
    </row>
    <row r="11" spans="1:23" ht="12.75" hidden="1">
      <c r="A11" s="14">
        <v>2100000001</v>
      </c>
      <c r="B11" s="14" t="s">
        <v>4</v>
      </c>
      <c r="C11" s="174">
        <v>230000.0127905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3"/>
      <c r="V11" s="13"/>
      <c r="W11" s="13"/>
    </row>
    <row r="12" spans="1:23" ht="12.75" hidden="1">
      <c r="A12" s="14">
        <v>2110000001</v>
      </c>
      <c r="B12" s="14" t="s">
        <v>4</v>
      </c>
      <c r="C12" s="174">
        <v>620000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3"/>
      <c r="V12" s="13"/>
      <c r="W12" s="13"/>
    </row>
    <row r="13" spans="1:23" ht="12.75" hidden="1">
      <c r="A13" s="14">
        <v>2120000001</v>
      </c>
      <c r="B13" s="17" t="s">
        <v>121</v>
      </c>
      <c r="C13" s="174">
        <v>35750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3"/>
      <c r="V13" s="13"/>
      <c r="W13" s="13"/>
    </row>
    <row r="14" spans="1:23" ht="12.75" hidden="1">
      <c r="A14" s="14">
        <v>2130000005</v>
      </c>
      <c r="B14" s="17" t="s">
        <v>107</v>
      </c>
      <c r="C14" s="174">
        <v>17000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3"/>
      <c r="V14" s="13"/>
      <c r="W14" s="13"/>
    </row>
    <row r="15" spans="1:23" ht="12.75" hidden="1">
      <c r="A15" s="14">
        <v>2130000006</v>
      </c>
      <c r="B15" s="17" t="s">
        <v>108</v>
      </c>
      <c r="C15" s="174">
        <v>19800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3"/>
      <c r="V15" s="13"/>
      <c r="W15" s="13"/>
    </row>
    <row r="16" spans="1:23" ht="12.75" hidden="1">
      <c r="A16" s="14">
        <v>2150000001</v>
      </c>
      <c r="B16" s="17" t="s">
        <v>147</v>
      </c>
      <c r="C16" s="174">
        <v>4800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3"/>
      <c r="V16" s="13"/>
      <c r="W16" s="13"/>
    </row>
    <row r="17" spans="1:23" ht="12.75" hidden="1">
      <c r="A17" s="14">
        <v>2150000001</v>
      </c>
      <c r="B17" s="17" t="s">
        <v>145</v>
      </c>
      <c r="C17" s="174">
        <v>16400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3"/>
      <c r="V17" s="13"/>
      <c r="W17" s="13"/>
    </row>
    <row r="18" spans="1:23" ht="12.75" hidden="1">
      <c r="A18" s="14">
        <v>2150000002</v>
      </c>
      <c r="B18" s="17" t="s">
        <v>146</v>
      </c>
      <c r="C18" s="174">
        <v>18470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3"/>
      <c r="V18" s="13"/>
      <c r="W18" s="13"/>
    </row>
    <row r="19" spans="1:23" ht="12.75" hidden="1">
      <c r="A19" s="14">
        <v>2150000003</v>
      </c>
      <c r="B19" s="17" t="s">
        <v>111</v>
      </c>
      <c r="C19" s="174">
        <v>22400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3"/>
      <c r="V19" s="13"/>
      <c r="W19" s="13"/>
    </row>
    <row r="20" spans="1:23" ht="12.75" hidden="1">
      <c r="A20" s="14">
        <v>2150000004</v>
      </c>
      <c r="B20" s="17" t="s">
        <v>110</v>
      </c>
      <c r="C20" s="174">
        <v>28250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3"/>
      <c r="V20" s="13"/>
      <c r="W20" s="13"/>
    </row>
    <row r="21" spans="1:23" ht="12.75" hidden="1">
      <c r="A21" s="14">
        <v>2150000007</v>
      </c>
      <c r="B21" s="17" t="s">
        <v>109</v>
      </c>
      <c r="C21" s="174">
        <v>14800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3"/>
      <c r="V21" s="13"/>
      <c r="W21" s="13"/>
    </row>
    <row r="22" spans="1:23" ht="12.75" hidden="1">
      <c r="A22" s="14">
        <v>2150000008</v>
      </c>
      <c r="B22" s="17" t="s">
        <v>112</v>
      </c>
      <c r="C22" s="174">
        <v>27600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3"/>
      <c r="V22" s="13"/>
      <c r="W22" s="13"/>
    </row>
    <row r="23" spans="1:23" ht="12.75" hidden="1">
      <c r="A23" s="14">
        <v>2150000009</v>
      </c>
      <c r="B23" s="17" t="s">
        <v>113</v>
      </c>
      <c r="C23" s="174">
        <v>34900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3"/>
      <c r="V23" s="13"/>
      <c r="W23" s="13"/>
    </row>
    <row r="24" spans="1:23" ht="12.75" hidden="1">
      <c r="A24" s="14">
        <v>2150000010</v>
      </c>
      <c r="B24" s="17" t="s">
        <v>114</v>
      </c>
      <c r="C24" s="174">
        <v>34900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3"/>
      <c r="V24" s="13"/>
      <c r="W24" s="13"/>
    </row>
    <row r="25" spans="1:23" ht="12.75" hidden="1">
      <c r="A25" s="14">
        <v>2150000011</v>
      </c>
      <c r="B25" s="17" t="s">
        <v>115</v>
      </c>
      <c r="C25" s="174">
        <v>19450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3"/>
      <c r="V25" s="13"/>
      <c r="W25" s="13"/>
    </row>
    <row r="26" spans="1:23" ht="12.75" hidden="1">
      <c r="A26" s="14">
        <v>2150000012</v>
      </c>
      <c r="B26" s="17" t="s">
        <v>116</v>
      </c>
      <c r="C26" s="174">
        <v>18840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3"/>
      <c r="V26" s="13"/>
      <c r="W26" s="13"/>
    </row>
    <row r="27" spans="1:23" ht="12.75" hidden="1">
      <c r="A27" s="14">
        <v>2150000013</v>
      </c>
      <c r="B27" s="17" t="s">
        <v>117</v>
      </c>
      <c r="C27" s="174">
        <v>14700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3"/>
      <c r="V27" s="13"/>
      <c r="W27" s="13"/>
    </row>
    <row r="28" spans="1:23" ht="12.75" hidden="1">
      <c r="A28" s="14">
        <v>2150000014</v>
      </c>
      <c r="B28" s="17" t="s">
        <v>118</v>
      </c>
      <c r="C28" s="174">
        <v>28950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3"/>
      <c r="V28" s="13"/>
      <c r="W28" s="13"/>
    </row>
    <row r="29" spans="1:23" ht="12.75" hidden="1">
      <c r="A29" s="14">
        <v>2150000015</v>
      </c>
      <c r="B29" s="17" t="s">
        <v>119</v>
      </c>
      <c r="C29" s="174">
        <v>36240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3"/>
      <c r="V29" s="13"/>
      <c r="W29" s="13"/>
    </row>
    <row r="30" spans="1:23" ht="12.75" hidden="1">
      <c r="A30" s="14">
        <v>2150000016</v>
      </c>
      <c r="B30" s="17" t="s">
        <v>120</v>
      </c>
      <c r="C30" s="174">
        <v>20480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3"/>
      <c r="V30" s="13"/>
      <c r="W30" s="13"/>
    </row>
    <row r="31" spans="1:23" ht="12.75" hidden="1">
      <c r="A31" s="14">
        <v>2150000017</v>
      </c>
      <c r="B31" s="17" t="s">
        <v>123</v>
      </c>
      <c r="C31" s="174">
        <v>15100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3"/>
      <c r="V31" s="13"/>
      <c r="W31" s="13"/>
    </row>
    <row r="32" spans="1:23" ht="12.75" hidden="1">
      <c r="A32" s="14">
        <v>2150000018</v>
      </c>
      <c r="B32" s="17" t="s">
        <v>124</v>
      </c>
      <c r="C32" s="174">
        <v>48400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3"/>
      <c r="V32" s="13"/>
      <c r="W32" s="13"/>
    </row>
    <row r="33" spans="1:23" ht="12.75" hidden="1">
      <c r="A33" s="14">
        <v>2150000019</v>
      </c>
      <c r="B33" s="17" t="s">
        <v>125</v>
      </c>
      <c r="C33" s="174">
        <v>48400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3"/>
      <c r="V33" s="13"/>
      <c r="W33" s="13"/>
    </row>
    <row r="34" spans="1:23" ht="12.75" hidden="1">
      <c r="A34" s="14">
        <v>2150000020</v>
      </c>
      <c r="B34" s="17" t="s">
        <v>126</v>
      </c>
      <c r="C34" s="174">
        <v>36650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3"/>
      <c r="V34" s="13"/>
      <c r="W34" s="13"/>
    </row>
    <row r="35" spans="1:23" ht="12.75" hidden="1">
      <c r="A35" s="14">
        <v>2150000021</v>
      </c>
      <c r="B35" s="17" t="s">
        <v>127</v>
      </c>
      <c r="C35" s="174">
        <v>26500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3"/>
      <c r="V35" s="13"/>
      <c r="W35" s="13"/>
    </row>
    <row r="36" spans="1:23" ht="12.75" hidden="1">
      <c r="A36" s="14">
        <v>2150000022</v>
      </c>
      <c r="B36" s="17" t="s">
        <v>128</v>
      </c>
      <c r="C36" s="174">
        <v>15820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3"/>
      <c r="V36" s="13"/>
      <c r="W36" s="13"/>
    </row>
    <row r="37" spans="1:23" ht="12.75" hidden="1">
      <c r="A37" s="14">
        <v>2150000023</v>
      </c>
      <c r="B37" s="17" t="s">
        <v>129</v>
      </c>
      <c r="C37" s="174">
        <v>46800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3"/>
      <c r="V37" s="13"/>
      <c r="W37" s="13"/>
    </row>
    <row r="38" spans="1:23" ht="12.75" hidden="1">
      <c r="A38" s="14">
        <v>2150000024</v>
      </c>
      <c r="B38" s="17" t="s">
        <v>141</v>
      </c>
      <c r="C38" s="174">
        <v>60780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3"/>
      <c r="V38" s="13"/>
      <c r="W38" s="13"/>
    </row>
    <row r="39" spans="1:23" ht="12.75" hidden="1">
      <c r="A39" s="14">
        <v>2150000025</v>
      </c>
      <c r="B39" s="17" t="s">
        <v>142</v>
      </c>
      <c r="C39" s="174">
        <v>34900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3"/>
      <c r="V39" s="13"/>
      <c r="W39" s="13"/>
    </row>
    <row r="40" spans="1:23" ht="12.75" hidden="1">
      <c r="A40" s="14">
        <v>2150000026</v>
      </c>
      <c r="B40" s="17" t="s">
        <v>143</v>
      </c>
      <c r="C40" s="174">
        <v>153500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3"/>
      <c r="V40" s="13"/>
      <c r="W40" s="13"/>
    </row>
    <row r="41" spans="1:23" ht="12.75" hidden="1">
      <c r="A41" s="14">
        <v>2150000027</v>
      </c>
      <c r="B41" s="17" t="s">
        <v>144</v>
      </c>
      <c r="C41" s="174">
        <v>18000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3"/>
      <c r="V41" s="13"/>
      <c r="W41" s="13"/>
    </row>
    <row r="42" spans="1:23" ht="12.75" hidden="1">
      <c r="A42" s="14">
        <v>2150000028</v>
      </c>
      <c r="B42" s="17" t="s">
        <v>122</v>
      </c>
      <c r="C42" s="174">
        <v>74890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3"/>
      <c r="V42" s="13"/>
      <c r="W42" s="13"/>
    </row>
    <row r="43" spans="1:23" ht="12.75" hidden="1">
      <c r="A43" s="14">
        <v>2150000029</v>
      </c>
      <c r="B43" s="17" t="s">
        <v>148</v>
      </c>
      <c r="C43" s="174">
        <v>21490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3"/>
      <c r="V43" s="13"/>
      <c r="W43" s="13"/>
    </row>
    <row r="44" spans="1:23" ht="12.75" hidden="1">
      <c r="A44" s="14">
        <v>2150000030</v>
      </c>
      <c r="B44" s="17" t="s">
        <v>149</v>
      </c>
      <c r="C44" s="174">
        <v>34800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3"/>
      <c r="V44" s="13"/>
      <c r="W44" s="13"/>
    </row>
    <row r="45" spans="1:23" ht="12.75" hidden="1">
      <c r="A45" s="14">
        <v>2150000031</v>
      </c>
      <c r="B45" s="17" t="s">
        <v>150</v>
      </c>
      <c r="C45" s="174">
        <v>26000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3"/>
      <c r="V45" s="13"/>
      <c r="W45" s="13"/>
    </row>
    <row r="46" spans="1:23" ht="12.75" hidden="1">
      <c r="A46" s="14">
        <v>2150000032</v>
      </c>
      <c r="B46" s="17" t="s">
        <v>152</v>
      </c>
      <c r="C46" s="174">
        <v>12000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3"/>
      <c r="V46" s="13"/>
      <c r="W46" s="13"/>
    </row>
    <row r="47" spans="1:23" ht="12.75" hidden="1">
      <c r="A47" s="14">
        <v>2150000033</v>
      </c>
      <c r="B47" s="17" t="s">
        <v>153</v>
      </c>
      <c r="C47" s="174">
        <v>94000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3"/>
      <c r="V47" s="13"/>
      <c r="W47" s="13"/>
    </row>
    <row r="48" spans="1:23" ht="12.75" hidden="1">
      <c r="A48" s="14">
        <v>2150000034</v>
      </c>
      <c r="B48" s="17" t="s">
        <v>154</v>
      </c>
      <c r="C48" s="174">
        <v>24500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3"/>
      <c r="V48" s="13"/>
      <c r="W48" s="13"/>
    </row>
    <row r="49" spans="1:23" ht="12.75" hidden="1">
      <c r="A49" s="14">
        <v>2150000080</v>
      </c>
      <c r="B49" s="17" t="s">
        <v>155</v>
      </c>
      <c r="C49" s="174">
        <v>87500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3"/>
      <c r="V49" s="13"/>
      <c r="W49" s="13"/>
    </row>
    <row r="50" spans="1:23" ht="12.75" hidden="1">
      <c r="A50" s="14">
        <v>2180000002</v>
      </c>
      <c r="B50" s="17" t="s">
        <v>151</v>
      </c>
      <c r="C50" s="174">
        <v>18000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3"/>
      <c r="V50" s="13"/>
      <c r="W50" s="13"/>
    </row>
    <row r="51" spans="1:23" ht="12.75" hidden="1">
      <c r="A51" s="14">
        <v>2180000003</v>
      </c>
      <c r="B51" s="17" t="s">
        <v>156</v>
      </c>
      <c r="C51" s="174">
        <v>17500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3"/>
      <c r="V51" s="13"/>
      <c r="W51" s="13"/>
    </row>
    <row r="52" spans="1:23" ht="12.75" hidden="1">
      <c r="A52" s="14">
        <v>2180000004</v>
      </c>
      <c r="B52" s="17" t="s">
        <v>157</v>
      </c>
      <c r="C52" s="174">
        <v>19400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3"/>
      <c r="V52" s="13"/>
      <c r="W52" s="13"/>
    </row>
    <row r="53" spans="1:23" ht="12.75" hidden="1">
      <c r="A53" s="14">
        <v>2500000001</v>
      </c>
      <c r="B53" s="17" t="s">
        <v>9</v>
      </c>
      <c r="C53" s="174">
        <v>78600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3"/>
      <c r="V53" s="13"/>
      <c r="W53" s="13"/>
    </row>
    <row r="54" spans="1:23" ht="12.75" hidden="1">
      <c r="A54" s="14">
        <v>2803020301</v>
      </c>
      <c r="B54" s="17" t="s">
        <v>97</v>
      </c>
      <c r="C54" s="174">
        <v>-1560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3"/>
      <c r="V54" s="13"/>
      <c r="W54" s="13"/>
    </row>
    <row r="55" spans="1:23" ht="12.75" hidden="1">
      <c r="A55" s="14">
        <v>2803020302</v>
      </c>
      <c r="B55" s="17" t="s">
        <v>98</v>
      </c>
      <c r="C55" s="174">
        <v>-2040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3"/>
      <c r="V55" s="13"/>
      <c r="W55" s="13"/>
    </row>
    <row r="56" spans="1:23" ht="12.75" hidden="1">
      <c r="A56" s="14">
        <v>2811021101</v>
      </c>
      <c r="B56" s="14" t="s">
        <v>4</v>
      </c>
      <c r="C56" s="174">
        <v>-276000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3"/>
      <c r="V56" s="13"/>
      <c r="W56" s="13"/>
    </row>
    <row r="57" spans="1:23" ht="12.75" hidden="1">
      <c r="A57" s="14">
        <v>2812021201</v>
      </c>
      <c r="B57" s="17" t="s">
        <v>121</v>
      </c>
      <c r="C57" s="174">
        <v>-10010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3"/>
      <c r="V57" s="13"/>
      <c r="W57" s="13"/>
    </row>
    <row r="58" spans="1:23" ht="12.75" hidden="1">
      <c r="A58" s="14">
        <v>2813021305</v>
      </c>
      <c r="B58" s="17" t="s">
        <v>107</v>
      </c>
      <c r="C58" s="174">
        <v>-5100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3"/>
      <c r="V58" s="13"/>
      <c r="W58" s="13"/>
    </row>
    <row r="59" spans="1:23" ht="12.75" hidden="1">
      <c r="A59" s="14">
        <v>2813021306</v>
      </c>
      <c r="B59" s="17" t="s">
        <v>108</v>
      </c>
      <c r="C59" s="174">
        <v>-5940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3"/>
      <c r="V59" s="13"/>
      <c r="W59" s="13"/>
    </row>
    <row r="60" spans="1:23" ht="12.75" hidden="1">
      <c r="A60" s="14">
        <v>2815021501</v>
      </c>
      <c r="B60" s="17" t="s">
        <v>147</v>
      </c>
      <c r="C60" s="174">
        <v>-1440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3"/>
      <c r="V60" s="13"/>
      <c r="W60" s="13"/>
    </row>
    <row r="61" spans="1:23" ht="12.75" hidden="1">
      <c r="A61" s="14">
        <v>2815021501</v>
      </c>
      <c r="B61" s="17" t="s">
        <v>145</v>
      </c>
      <c r="C61" s="174">
        <v>-4920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3"/>
      <c r="V61" s="13"/>
      <c r="W61" s="13"/>
    </row>
    <row r="62" spans="1:23" ht="12.75" hidden="1">
      <c r="A62" s="14">
        <v>2815021502</v>
      </c>
      <c r="B62" s="17" t="s">
        <v>146</v>
      </c>
      <c r="C62" s="174">
        <v>-9235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3"/>
      <c r="V62" s="13"/>
      <c r="W62" s="13"/>
    </row>
    <row r="63" spans="1:23" ht="12.75" hidden="1">
      <c r="A63" s="14">
        <v>2815021503</v>
      </c>
      <c r="B63" s="17" t="s">
        <v>111</v>
      </c>
      <c r="C63" s="174">
        <v>-11200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3"/>
      <c r="V63" s="13"/>
      <c r="W63" s="13"/>
    </row>
    <row r="64" spans="1:23" ht="12.75" hidden="1">
      <c r="A64" s="14">
        <v>2815021504</v>
      </c>
      <c r="B64" s="17" t="s">
        <v>110</v>
      </c>
      <c r="C64" s="174">
        <v>-14125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3"/>
      <c r="V64" s="13"/>
      <c r="W64" s="13"/>
    </row>
    <row r="65" spans="1:23" ht="12.75" hidden="1">
      <c r="A65" s="14">
        <v>2815021507</v>
      </c>
      <c r="B65" s="17" t="s">
        <v>109</v>
      </c>
      <c r="C65" s="174">
        <v>-7400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3"/>
      <c r="V65" s="13"/>
      <c r="W65" s="13"/>
    </row>
    <row r="66" spans="1:23" ht="12.75" hidden="1">
      <c r="A66" s="14">
        <v>2815021508</v>
      </c>
      <c r="B66" s="17" t="s">
        <v>112</v>
      </c>
      <c r="C66" s="174">
        <v>-13800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3"/>
      <c r="V66" s="13"/>
      <c r="W66" s="13"/>
    </row>
    <row r="67" spans="1:23" ht="12.75" hidden="1">
      <c r="A67" s="14">
        <v>2815021509</v>
      </c>
      <c r="B67" s="17" t="s">
        <v>113</v>
      </c>
      <c r="C67" s="174">
        <v>-17450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3"/>
      <c r="V67" s="13"/>
      <c r="W67" s="13"/>
    </row>
    <row r="68" spans="1:23" ht="12.75" hidden="1">
      <c r="A68" s="14">
        <v>2815021510</v>
      </c>
      <c r="B68" s="17" t="s">
        <v>114</v>
      </c>
      <c r="C68" s="174">
        <v>-17450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3"/>
      <c r="V68" s="13"/>
      <c r="W68" s="13"/>
    </row>
    <row r="69" spans="1:23" ht="12.75" hidden="1">
      <c r="A69" s="14">
        <v>2815021511</v>
      </c>
      <c r="B69" s="17" t="s">
        <v>115</v>
      </c>
      <c r="C69" s="174">
        <v>-9725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3"/>
      <c r="V69" s="13"/>
      <c r="W69" s="13"/>
    </row>
    <row r="70" spans="1:23" ht="12.75" hidden="1">
      <c r="A70" s="14">
        <v>2815021512</v>
      </c>
      <c r="B70" s="17" t="s">
        <v>116</v>
      </c>
      <c r="C70" s="174">
        <v>-9420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3"/>
      <c r="V70" s="13"/>
      <c r="W70" s="13"/>
    </row>
    <row r="71" spans="1:23" ht="12.75" hidden="1">
      <c r="A71" s="14">
        <v>2815021513</v>
      </c>
      <c r="B71" s="17" t="s">
        <v>117</v>
      </c>
      <c r="C71" s="174">
        <v>-7350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3"/>
      <c r="V71" s="13"/>
      <c r="W71" s="13"/>
    </row>
    <row r="72" spans="1:23" ht="12.75" hidden="1">
      <c r="A72" s="14">
        <v>2815021514</v>
      </c>
      <c r="B72" s="17" t="s">
        <v>118</v>
      </c>
      <c r="C72" s="174">
        <v>-8106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3"/>
      <c r="V72" s="13"/>
      <c r="W72" s="13"/>
    </row>
    <row r="73" spans="1:23" ht="12.75" hidden="1">
      <c r="A73" s="14">
        <v>2815021515</v>
      </c>
      <c r="B73" s="17" t="s">
        <v>119</v>
      </c>
      <c r="C73" s="174">
        <v>-10147.2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3"/>
      <c r="V73" s="13"/>
      <c r="W73" s="13"/>
    </row>
    <row r="74" spans="1:23" ht="12.75" hidden="1">
      <c r="A74" s="14">
        <v>2815021516</v>
      </c>
      <c r="B74" s="17" t="s">
        <v>120</v>
      </c>
      <c r="C74" s="174">
        <v>-5734.4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3"/>
      <c r="V74" s="13"/>
      <c r="W74" s="13"/>
    </row>
    <row r="75" spans="1:23" ht="12.75" hidden="1">
      <c r="A75" s="14">
        <v>2815021517</v>
      </c>
      <c r="B75" s="17" t="s">
        <v>123</v>
      </c>
      <c r="C75" s="174">
        <v>-4228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3"/>
      <c r="V75" s="13"/>
      <c r="W75" s="13"/>
    </row>
    <row r="76" spans="1:23" ht="12.75" hidden="1">
      <c r="A76" s="14">
        <v>2815021518</v>
      </c>
      <c r="B76" s="17" t="s">
        <v>124</v>
      </c>
      <c r="C76" s="174">
        <v>-13552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3"/>
      <c r="V76" s="13"/>
      <c r="W76" s="13"/>
    </row>
    <row r="77" spans="1:23" ht="12.75" hidden="1">
      <c r="A77" s="14">
        <v>2815021519</v>
      </c>
      <c r="B77" s="17" t="s">
        <v>125</v>
      </c>
      <c r="C77" s="174">
        <v>-13552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3"/>
      <c r="V77" s="13"/>
      <c r="W77" s="13"/>
    </row>
    <row r="78" spans="1:23" ht="12.75" hidden="1">
      <c r="A78" s="14">
        <v>2815021520</v>
      </c>
      <c r="B78" s="17" t="s">
        <v>126</v>
      </c>
      <c r="C78" s="174">
        <v>-10262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3"/>
      <c r="V78" s="13"/>
      <c r="W78" s="13"/>
    </row>
    <row r="79" spans="1:23" ht="12.75" hidden="1">
      <c r="A79" s="14">
        <v>2815021521</v>
      </c>
      <c r="B79" s="17" t="s">
        <v>127</v>
      </c>
      <c r="C79" s="174">
        <v>-7420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3"/>
      <c r="V79" s="13"/>
      <c r="W79" s="13"/>
    </row>
    <row r="80" spans="1:23" ht="12.75" hidden="1">
      <c r="A80" s="14">
        <v>2815021522</v>
      </c>
      <c r="B80" s="17" t="s">
        <v>128</v>
      </c>
      <c r="C80" s="174">
        <v>-4429.6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3"/>
      <c r="V80" s="13"/>
      <c r="W80" s="13"/>
    </row>
    <row r="81" spans="1:23" ht="12.75" hidden="1">
      <c r="A81" s="14">
        <v>2815021523</v>
      </c>
      <c r="B81" s="17" t="s">
        <v>129</v>
      </c>
      <c r="C81" s="174">
        <v>-13104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3"/>
      <c r="V81" s="13"/>
      <c r="W81" s="13"/>
    </row>
    <row r="82" spans="1:23" ht="12.75" hidden="1">
      <c r="A82" s="14">
        <v>2815021524</v>
      </c>
      <c r="B82" s="17" t="s">
        <v>141</v>
      </c>
      <c r="C82" s="174">
        <v>-17018.4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3"/>
      <c r="V82" s="13"/>
      <c r="W82" s="13"/>
    </row>
    <row r="83" spans="1:23" ht="12.75" hidden="1">
      <c r="A83" s="14">
        <v>2815021525</v>
      </c>
      <c r="B83" s="17" t="s">
        <v>142</v>
      </c>
      <c r="C83" s="174">
        <v>-9772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3"/>
      <c r="V83" s="13"/>
      <c r="W83" s="13"/>
    </row>
    <row r="84" spans="1:23" ht="12.75" hidden="1">
      <c r="A84" s="14">
        <v>2815021526</v>
      </c>
      <c r="B84" s="17" t="s">
        <v>143</v>
      </c>
      <c r="C84" s="174">
        <v>-42980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3"/>
      <c r="V84" s="13"/>
      <c r="W84" s="13"/>
    </row>
    <row r="85" spans="1:23" ht="12.75" hidden="1">
      <c r="A85" s="14">
        <v>2815021527</v>
      </c>
      <c r="B85" s="17" t="s">
        <v>144</v>
      </c>
      <c r="C85" s="174">
        <v>-7200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3"/>
      <c r="V85" s="13"/>
      <c r="W85" s="13"/>
    </row>
    <row r="86" spans="1:23" ht="12.75" hidden="1">
      <c r="A86" s="14">
        <v>2815021528</v>
      </c>
      <c r="B86" s="17" t="s">
        <v>122</v>
      </c>
      <c r="C86" s="174">
        <v>-29956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3"/>
      <c r="V86" s="13"/>
      <c r="W86" s="13"/>
    </row>
    <row r="87" spans="1:23" ht="12.75" hidden="1">
      <c r="A87" s="14">
        <v>2815021529</v>
      </c>
      <c r="B87" s="17" t="s">
        <v>148</v>
      </c>
      <c r="C87" s="174">
        <v>-8596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3"/>
      <c r="V87" s="13"/>
      <c r="W87" s="13"/>
    </row>
    <row r="88" spans="1:23" ht="12.75" hidden="1">
      <c r="A88" s="14">
        <v>2815021530</v>
      </c>
      <c r="B88" s="17" t="s">
        <v>149</v>
      </c>
      <c r="C88" s="174">
        <v>-13920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3"/>
      <c r="V88" s="13"/>
      <c r="W88" s="13"/>
    </row>
    <row r="89" spans="1:23" ht="12.75" hidden="1">
      <c r="A89" s="14">
        <v>2815021531</v>
      </c>
      <c r="B89" s="17" t="s">
        <v>150</v>
      </c>
      <c r="C89" s="174">
        <v>-10400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3"/>
      <c r="V89" s="13"/>
      <c r="W89" s="13"/>
    </row>
    <row r="90" spans="1:23" ht="12.75" hidden="1">
      <c r="A90" s="14">
        <v>2815021532</v>
      </c>
      <c r="B90" s="17" t="s">
        <v>152</v>
      </c>
      <c r="C90" s="174">
        <v>-4800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3"/>
      <c r="V90" s="13"/>
      <c r="W90" s="13"/>
    </row>
    <row r="91" spans="1:23" ht="12.75" hidden="1">
      <c r="A91" s="14">
        <v>2815021533</v>
      </c>
      <c r="B91" s="17" t="s">
        <v>153</v>
      </c>
      <c r="C91" s="174">
        <v>-37600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3"/>
      <c r="V91" s="13"/>
      <c r="W91" s="13"/>
    </row>
    <row r="92" spans="1:23" ht="12.75" hidden="1">
      <c r="A92" s="14">
        <v>2815021534</v>
      </c>
      <c r="B92" s="17" t="s">
        <v>154</v>
      </c>
      <c r="C92" s="174">
        <v>-9800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3"/>
      <c r="V92" s="13"/>
      <c r="W92" s="13"/>
    </row>
    <row r="93" spans="1:23" ht="12.75" hidden="1">
      <c r="A93" s="14">
        <v>2815021580</v>
      </c>
      <c r="B93" s="17" t="s">
        <v>155</v>
      </c>
      <c r="C93" s="174">
        <v>-32000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3"/>
      <c r="V93" s="13"/>
      <c r="W93" s="13"/>
    </row>
    <row r="94" spans="1:23" ht="12.75" hidden="1">
      <c r="A94" s="14">
        <v>2818021802</v>
      </c>
      <c r="B94" s="17" t="s">
        <v>151</v>
      </c>
      <c r="C94" s="174">
        <v>-7200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3"/>
      <c r="V94" s="13"/>
      <c r="W94" s="13"/>
    </row>
    <row r="95" spans="1:23" ht="12.75" hidden="1">
      <c r="A95" s="14">
        <v>2818021803</v>
      </c>
      <c r="B95" s="17" t="s">
        <v>156</v>
      </c>
      <c r="C95" s="174">
        <v>-2400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3"/>
      <c r="V95" s="13"/>
      <c r="W95" s="13"/>
    </row>
    <row r="96" spans="1:23" ht="12.75" hidden="1">
      <c r="A96" s="14">
        <v>2818021804</v>
      </c>
      <c r="B96" s="17" t="s">
        <v>157</v>
      </c>
      <c r="C96" s="174">
        <v>-1800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3"/>
      <c r="V96" s="13"/>
      <c r="W96" s="13"/>
    </row>
    <row r="97" spans="1:23" ht="12.75" hidden="1">
      <c r="A97" s="14">
        <v>3100000001</v>
      </c>
      <c r="B97" s="17" t="s">
        <v>158</v>
      </c>
      <c r="C97" s="174">
        <f>MP!$E$16</f>
        <v>17952.834152689415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3"/>
      <c r="V97" s="13"/>
      <c r="W97" s="13"/>
    </row>
    <row r="98" spans="1:23" ht="12.75" hidden="1">
      <c r="A98" s="14">
        <v>3100000002</v>
      </c>
      <c r="B98" s="17" t="s">
        <v>159</v>
      </c>
      <c r="C98" s="174">
        <f>MP!$E$32</f>
        <v>21543.602788990826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3"/>
      <c r="V98" s="13"/>
      <c r="W98" s="13"/>
    </row>
    <row r="99" spans="1:23" ht="12.75" hidden="1">
      <c r="A99" s="14">
        <v>3200000001</v>
      </c>
      <c r="B99" s="16" t="s">
        <v>166</v>
      </c>
      <c r="C99" s="18">
        <f>'elem incorp'!$D$8</f>
        <v>1286.4111549183592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3"/>
      <c r="V99" s="13"/>
      <c r="W99" s="13"/>
    </row>
    <row r="100" spans="1:23" ht="12.75" hidden="1">
      <c r="A100" s="14">
        <v>3200000002</v>
      </c>
      <c r="B100" s="16" t="s">
        <v>164</v>
      </c>
      <c r="C100" s="41">
        <f>'elem incorp'!$G$8</f>
        <v>23.452337662337662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3"/>
      <c r="V100" s="13"/>
      <c r="W100" s="13"/>
    </row>
    <row r="101" spans="1:23" ht="12.75" hidden="1">
      <c r="A101" s="14">
        <v>3200000003</v>
      </c>
      <c r="B101" s="50" t="s">
        <v>165</v>
      </c>
      <c r="C101" s="175">
        <f>'elem incorp'!$J$8</f>
        <v>3.36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3"/>
      <c r="V101" s="13"/>
      <c r="W101" s="13"/>
    </row>
    <row r="102" spans="1:23" ht="12.75" hidden="1">
      <c r="A102" s="14">
        <v>3270000101</v>
      </c>
      <c r="B102" s="50" t="s">
        <v>227</v>
      </c>
      <c r="C102" s="176">
        <v>18897.64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3"/>
      <c r="V102" s="13"/>
      <c r="W102" s="13"/>
    </row>
    <row r="103" spans="1:23" ht="12.75" hidden="1">
      <c r="A103" s="14">
        <v>3270000102</v>
      </c>
      <c r="B103" s="50" t="s">
        <v>228</v>
      </c>
      <c r="C103" s="176">
        <v>14580.7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3"/>
      <c r="V103" s="13"/>
      <c r="W103" s="13"/>
    </row>
    <row r="104" spans="1:23" ht="12.75" hidden="1">
      <c r="A104" s="14">
        <v>3270000103</v>
      </c>
      <c r="B104" s="50" t="s">
        <v>229</v>
      </c>
      <c r="C104" s="176">
        <v>3658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3"/>
      <c r="V104" s="13"/>
      <c r="W104" s="13"/>
    </row>
    <row r="105" spans="1:23" ht="12.75" hidden="1">
      <c r="A105" s="14">
        <v>3270000104</v>
      </c>
      <c r="B105" s="50" t="s">
        <v>230</v>
      </c>
      <c r="C105" s="176">
        <v>4897.6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3"/>
      <c r="V105" s="13"/>
      <c r="W105" s="13"/>
    </row>
    <row r="106" spans="1:23" ht="12.75" hidden="1">
      <c r="A106" s="14">
        <v>3300000001</v>
      </c>
      <c r="B106" s="17" t="s">
        <v>160</v>
      </c>
      <c r="C106" s="176">
        <v>0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3"/>
      <c r="V106" s="13"/>
      <c r="W106" s="13"/>
    </row>
    <row r="107" spans="1:23" ht="12.75" hidden="1">
      <c r="A107" s="14">
        <v>3300000002</v>
      </c>
      <c r="B107" s="17" t="s">
        <v>161</v>
      </c>
      <c r="C107" s="174"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3"/>
      <c r="V107" s="13"/>
      <c r="W107" s="13"/>
    </row>
    <row r="108" spans="1:23" ht="12.75" hidden="1">
      <c r="A108" s="14">
        <v>3300000003</v>
      </c>
      <c r="B108" s="17" t="s">
        <v>162</v>
      </c>
      <c r="C108" s="174">
        <v>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3"/>
      <c r="V108" s="13"/>
      <c r="W108" s="13"/>
    </row>
    <row r="109" spans="1:23" ht="12.75" hidden="1">
      <c r="A109" s="14">
        <v>3300000004</v>
      </c>
      <c r="B109" s="17" t="s">
        <v>163</v>
      </c>
      <c r="C109" s="174"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3"/>
      <c r="V109" s="13"/>
      <c r="W109" s="13"/>
    </row>
    <row r="110" spans="1:23" ht="12.75" hidden="1">
      <c r="A110" s="14">
        <v>3500000001</v>
      </c>
      <c r="B110" s="17" t="s">
        <v>160</v>
      </c>
      <c r="C110" s="174">
        <f>'prod term'!$D$9</f>
        <v>49219.63151179114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3"/>
      <c r="V110" s="13"/>
      <c r="W110" s="13"/>
    </row>
    <row r="111" spans="1:23" ht="12.75" hidden="1">
      <c r="A111" s="14">
        <v>3500000002</v>
      </c>
      <c r="B111" s="17" t="s">
        <v>161</v>
      </c>
      <c r="C111" s="174">
        <f>'prod term'!$G$9</f>
        <v>4224.18241672505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3"/>
      <c r="V111" s="13"/>
      <c r="W111" s="13"/>
    </row>
    <row r="112" spans="1:23" ht="12.75" hidden="1">
      <c r="A112" s="14">
        <v>3500000003</v>
      </c>
      <c r="B112" s="17" t="s">
        <v>162</v>
      </c>
      <c r="C112" s="174">
        <f>'prod term'!$J$9</f>
        <v>15241.536767272464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3"/>
      <c r="V112" s="13"/>
      <c r="W112" s="13"/>
    </row>
    <row r="113" spans="1:23" ht="12.75" hidden="1">
      <c r="A113" s="14">
        <v>3500000004</v>
      </c>
      <c r="B113" s="17" t="s">
        <v>163</v>
      </c>
      <c r="C113" s="174">
        <f>'prod term'!$M$9</f>
        <v>1143.1499319955594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13"/>
      <c r="V113" s="13"/>
      <c r="W113" s="13"/>
    </row>
    <row r="114" spans="1:23" ht="25.5" hidden="1">
      <c r="A114" s="14">
        <v>3600000999</v>
      </c>
      <c r="B114" s="16" t="s">
        <v>254</v>
      </c>
      <c r="C114" s="174">
        <f>+M256+N256</f>
        <v>1589.0849169181542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3"/>
      <c r="V114" s="13"/>
      <c r="W114" s="13"/>
    </row>
    <row r="115" spans="1:23" ht="12.75" hidden="1">
      <c r="A115" s="14">
        <v>4000000012</v>
      </c>
      <c r="B115" s="16" t="s">
        <v>179</v>
      </c>
      <c r="C115" s="18">
        <v>-173120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3"/>
      <c r="V115" s="13"/>
      <c r="W115" s="13"/>
    </row>
    <row r="116" spans="1:23" ht="12.75" hidden="1">
      <c r="A116" s="14">
        <v>4000000054</v>
      </c>
      <c r="B116" s="16" t="s">
        <v>180</v>
      </c>
      <c r="C116" s="18">
        <v>-256450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3"/>
      <c r="V116" s="13"/>
      <c r="W116" s="13"/>
    </row>
    <row r="117" spans="1:23" ht="12.75" hidden="1">
      <c r="A117" s="14">
        <v>4000000054</v>
      </c>
      <c r="B117" s="16" t="s">
        <v>181</v>
      </c>
      <c r="C117" s="18">
        <v>-223954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3"/>
      <c r="V117" s="13"/>
      <c r="W117" s="13"/>
    </row>
    <row r="118" spans="1:23" ht="12.75" hidden="1">
      <c r="A118" s="14">
        <v>4000000088</v>
      </c>
      <c r="B118" s="16" t="s">
        <v>182</v>
      </c>
      <c r="C118" s="18">
        <v>-126120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3"/>
      <c r="V118" s="13"/>
      <c r="W118" s="13"/>
    </row>
    <row r="119" spans="1:23" ht="12.75" hidden="1">
      <c r="A119" s="14">
        <v>4000000098</v>
      </c>
      <c r="B119" s="16" t="s">
        <v>183</v>
      </c>
      <c r="C119" s="18">
        <v>-17780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3"/>
      <c r="V119" s="13"/>
      <c r="W119" s="13"/>
    </row>
    <row r="120" spans="1:23" ht="12.75" hidden="1">
      <c r="A120" s="14">
        <v>4000000104</v>
      </c>
      <c r="B120" s="16" t="s">
        <v>207</v>
      </c>
      <c r="C120" s="18">
        <v>-4798.6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3"/>
      <c r="V120" s="13"/>
      <c r="W120" s="13"/>
    </row>
    <row r="121" spans="1:23" ht="12.75" hidden="1">
      <c r="A121" s="14">
        <v>4100000007</v>
      </c>
      <c r="B121" s="16" t="s">
        <v>206</v>
      </c>
      <c r="C121" s="18">
        <v>28965.4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3"/>
      <c r="V121" s="13"/>
      <c r="W121" s="13"/>
    </row>
    <row r="122" spans="1:23" ht="12.75" hidden="1">
      <c r="A122" s="14">
        <v>4300000012</v>
      </c>
      <c r="B122" s="16" t="s">
        <v>184</v>
      </c>
      <c r="C122" s="18">
        <v>157986.61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3"/>
      <c r="V122" s="13"/>
      <c r="W122" s="13"/>
    </row>
    <row r="123" spans="1:23" ht="12" customHeight="1" hidden="1">
      <c r="A123" s="14">
        <v>4300000014</v>
      </c>
      <c r="B123" s="16" t="s">
        <v>185</v>
      </c>
      <c r="C123" s="18">
        <v>68325.59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3"/>
      <c r="V123" s="13"/>
      <c r="W123" s="13"/>
    </row>
    <row r="124" spans="1:23" ht="12.75" hidden="1">
      <c r="A124" s="14">
        <v>4300000015</v>
      </c>
      <c r="B124" s="16" t="s">
        <v>205</v>
      </c>
      <c r="C124" s="18">
        <v>126458.7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3"/>
      <c r="V124" s="13"/>
      <c r="W124" s="13"/>
    </row>
    <row r="125" spans="1:23" ht="12.75" hidden="1">
      <c r="A125" s="14">
        <v>4300000016</v>
      </c>
      <c r="B125" s="16" t="s">
        <v>186</v>
      </c>
      <c r="C125" s="18">
        <v>114895.3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3"/>
      <c r="V125" s="13"/>
      <c r="W125" s="13"/>
    </row>
    <row r="126" spans="1:23" ht="12.75" hidden="1">
      <c r="A126" s="14">
        <v>4300000016</v>
      </c>
      <c r="B126" s="16" t="s">
        <v>204</v>
      </c>
      <c r="C126" s="18">
        <v>136874.64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3"/>
      <c r="V126" s="13"/>
      <c r="W126" s="13"/>
    </row>
    <row r="127" spans="1:23" ht="12.75" hidden="1">
      <c r="A127" s="14">
        <v>4300000017</v>
      </c>
      <c r="B127" s="16" t="s">
        <v>197</v>
      </c>
      <c r="C127" s="18">
        <v>78798.36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3"/>
      <c r="V127" s="13"/>
      <c r="W127" s="13"/>
    </row>
    <row r="128" spans="1:23" ht="12.75" hidden="1">
      <c r="A128" s="14">
        <v>4300000017</v>
      </c>
      <c r="B128" s="16" t="s">
        <v>203</v>
      </c>
      <c r="C128" s="18">
        <v>68750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3"/>
      <c r="V128" s="13"/>
      <c r="W128" s="13"/>
    </row>
    <row r="129" spans="1:23" ht="12.75" hidden="1">
      <c r="A129" s="14">
        <v>4300000018</v>
      </c>
      <c r="B129" s="16" t="s">
        <v>187</v>
      </c>
      <c r="C129" s="18">
        <v>54368.5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3"/>
      <c r="V129" s="13"/>
      <c r="W129" s="13"/>
    </row>
    <row r="130" spans="1:23" ht="12.75" hidden="1">
      <c r="A130" s="14">
        <v>4300000019</v>
      </c>
      <c r="B130" s="16" t="s">
        <v>201</v>
      </c>
      <c r="C130" s="18">
        <v>80765.64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3"/>
      <c r="V130" s="13"/>
      <c r="W130" s="13"/>
    </row>
    <row r="131" spans="1:23" ht="12.75" hidden="1">
      <c r="A131" s="14">
        <v>4650000999</v>
      </c>
      <c r="B131" s="16" t="s">
        <v>202</v>
      </c>
      <c r="C131" s="18">
        <v>-6836.43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3"/>
      <c r="V131" s="13"/>
      <c r="W131" s="13"/>
    </row>
    <row r="132" spans="1:23" ht="12.75" hidden="1">
      <c r="A132" s="14">
        <v>4750000001</v>
      </c>
      <c r="B132" s="16" t="s">
        <v>266</v>
      </c>
      <c r="C132" s="18">
        <v>-48963.25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3"/>
      <c r="V132" s="13"/>
      <c r="W132" s="13"/>
    </row>
    <row r="133" spans="1:23" ht="12.75" hidden="1">
      <c r="A133" s="14">
        <v>4760000999</v>
      </c>
      <c r="B133" s="16" t="s">
        <v>202</v>
      </c>
      <c r="C133" s="18">
        <v>-1832.16285714286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3"/>
      <c r="V133" s="13"/>
      <c r="W133" s="13"/>
    </row>
    <row r="134" spans="1:23" ht="12.75" hidden="1">
      <c r="A134" s="14">
        <v>5201008971</v>
      </c>
      <c r="B134" s="16" t="s">
        <v>101</v>
      </c>
      <c r="C134" s="18">
        <v>-387900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3"/>
      <c r="V134" s="13"/>
      <c r="W134" s="13"/>
    </row>
    <row r="135" spans="1:23" ht="12.75">
      <c r="A135" s="14">
        <v>5720008645</v>
      </c>
      <c r="B135" s="15" t="s">
        <v>5</v>
      </c>
      <c r="C135" s="18">
        <v>58925.47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3"/>
      <c r="V135" s="13"/>
      <c r="W135" s="13"/>
    </row>
    <row r="136" spans="1:48" ht="12.75">
      <c r="A136" s="14">
        <v>6010000001</v>
      </c>
      <c r="B136" s="16" t="s">
        <v>339</v>
      </c>
      <c r="C136" s="177">
        <f>+MP!$E$15-C145</f>
        <v>357631.33</v>
      </c>
      <c r="D136" s="175">
        <f>SUM(E136:AV136)</f>
        <v>0</v>
      </c>
      <c r="E136" s="8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19"/>
      <c r="V136" s="19"/>
      <c r="W136" s="19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</row>
    <row r="137" spans="1:49" ht="12.75">
      <c r="A137" s="14">
        <v>6010000002</v>
      </c>
      <c r="B137" s="16" t="s">
        <v>340</v>
      </c>
      <c r="C137" s="177">
        <f>+MP!$E$31</f>
        <v>84619</v>
      </c>
      <c r="D137" s="22">
        <f>SUM(E137:AV137)</f>
        <v>0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19"/>
      <c r="V137" s="19"/>
      <c r="W137" s="19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2">
        <f aca="true" t="shared" si="0" ref="AW137:AW168">+D137-SUM(E137:AV137)</f>
        <v>0</v>
      </c>
    </row>
    <row r="138" spans="1:49" ht="12.75">
      <c r="A138" s="14">
        <v>6020000001</v>
      </c>
      <c r="B138" s="16" t="s">
        <v>341</v>
      </c>
      <c r="C138" s="18">
        <f>+'elem incorp'!$D$6</f>
        <v>3789</v>
      </c>
      <c r="D138" s="22">
        <f>SUM(E138:AV138)</f>
        <v>3789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>
        <f>C138</f>
        <v>3789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62">
        <f t="shared" si="0"/>
        <v>0</v>
      </c>
    </row>
    <row r="139" spans="1:49" ht="14.25" customHeight="1">
      <c r="A139" s="14">
        <v>6020000002</v>
      </c>
      <c r="B139" s="16" t="s">
        <v>342</v>
      </c>
      <c r="C139" s="18">
        <f>+'elem incorp'!$G$6</f>
        <v>232.70000000000002</v>
      </c>
      <c r="D139" s="18">
        <f aca="true" t="shared" si="1" ref="D139:D203">SUM(E139:AV139)</f>
        <v>232.70000000000002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>
        <f>C139</f>
        <v>232.70000000000002</v>
      </c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62">
        <f t="shared" si="0"/>
        <v>0</v>
      </c>
    </row>
    <row r="140" spans="1:49" ht="12.75" customHeight="1">
      <c r="A140" s="14">
        <v>6020000003</v>
      </c>
      <c r="B140" s="16" t="s">
        <v>343</v>
      </c>
      <c r="C140" s="18">
        <f>+'elem incorp'!$J$6</f>
        <v>12.6</v>
      </c>
      <c r="D140" s="18">
        <f t="shared" si="1"/>
        <v>12.6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>
        <f>C140</f>
        <v>12.6</v>
      </c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62">
        <f t="shared" si="0"/>
        <v>0</v>
      </c>
    </row>
    <row r="141" spans="1:49" ht="13.5" customHeight="1">
      <c r="A141" s="14">
        <v>6020000101</v>
      </c>
      <c r="B141" s="16" t="s">
        <v>344</v>
      </c>
      <c r="C141" s="18">
        <v>6968</v>
      </c>
      <c r="D141" s="18">
        <f t="shared" si="1"/>
        <v>0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62">
        <f t="shared" si="0"/>
        <v>0</v>
      </c>
    </row>
    <row r="142" spans="1:49" ht="12.75">
      <c r="A142" s="14">
        <v>6020000102</v>
      </c>
      <c r="B142" s="16" t="s">
        <v>346</v>
      </c>
      <c r="C142" s="18">
        <v>9849.6</v>
      </c>
      <c r="D142" s="18">
        <f t="shared" si="1"/>
        <v>0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62">
        <f t="shared" si="0"/>
        <v>0</v>
      </c>
    </row>
    <row r="143" spans="1:49" ht="12.75">
      <c r="A143" s="14">
        <v>6020000103</v>
      </c>
      <c r="B143" s="16" t="s">
        <v>347</v>
      </c>
      <c r="C143" s="18">
        <v>1352.4</v>
      </c>
      <c r="D143" s="18">
        <f t="shared" si="1"/>
        <v>0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62">
        <f t="shared" si="0"/>
        <v>0</v>
      </c>
    </row>
    <row r="144" spans="1:49" ht="12.75">
      <c r="A144" s="14">
        <v>6020000104</v>
      </c>
      <c r="B144" s="16" t="s">
        <v>348</v>
      </c>
      <c r="C144" s="18">
        <v>1940.8</v>
      </c>
      <c r="D144" s="18">
        <f t="shared" si="1"/>
        <v>0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62">
        <f t="shared" si="0"/>
        <v>0</v>
      </c>
    </row>
    <row r="145" spans="1:49" ht="12.75">
      <c r="A145" s="14">
        <v>6081000001</v>
      </c>
      <c r="B145" s="16" t="s">
        <v>349</v>
      </c>
      <c r="C145" s="18">
        <v>-6400.33</v>
      </c>
      <c r="D145" s="18">
        <f t="shared" si="1"/>
        <v>0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62">
        <f t="shared" si="0"/>
        <v>0</v>
      </c>
    </row>
    <row r="146" spans="1:49" ht="12.75">
      <c r="A146" s="14">
        <v>6110000001</v>
      </c>
      <c r="B146" s="16" t="s">
        <v>350</v>
      </c>
      <c r="C146" s="174">
        <f>+MP!$E$17</f>
        <v>-2924.8341526894146</v>
      </c>
      <c r="D146" s="18">
        <f t="shared" si="1"/>
        <v>0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62">
        <f t="shared" si="0"/>
        <v>0</v>
      </c>
    </row>
    <row r="147" spans="1:49" ht="12.75">
      <c r="A147" s="14">
        <v>6110000002</v>
      </c>
      <c r="B147" s="16" t="s">
        <v>351</v>
      </c>
      <c r="C147" s="174">
        <f>+MP!$E$33</f>
        <v>-5775.6027889908255</v>
      </c>
      <c r="D147" s="18">
        <f t="shared" si="1"/>
        <v>0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62">
        <f t="shared" si="0"/>
        <v>0</v>
      </c>
    </row>
    <row r="148" spans="1:49" ht="12.75">
      <c r="A148" s="14">
        <v>6120000001</v>
      </c>
      <c r="B148" s="16" t="s">
        <v>352</v>
      </c>
      <c r="C148" s="18">
        <f>+'elem incorp'!$D$9</f>
        <v>-571.8511549183592</v>
      </c>
      <c r="D148" s="18">
        <f t="shared" si="1"/>
        <v>-571.8511549183592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>
        <f>C148</f>
        <v>-571.8511549183592</v>
      </c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62">
        <f t="shared" si="0"/>
        <v>0</v>
      </c>
    </row>
    <row r="149" spans="1:49" ht="12.75">
      <c r="A149" s="14">
        <v>6120000002</v>
      </c>
      <c r="B149" s="16" t="s">
        <v>353</v>
      </c>
      <c r="C149" s="18">
        <f>+'elem incorp'!$G$9</f>
        <v>21.667662337662335</v>
      </c>
      <c r="D149" s="18">
        <f t="shared" si="1"/>
        <v>21.667662337662335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>
        <f>C149</f>
        <v>21.667662337662335</v>
      </c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62">
        <f t="shared" si="0"/>
        <v>0</v>
      </c>
    </row>
    <row r="150" spans="1:49" ht="12.75">
      <c r="A150" s="14">
        <v>6120000003</v>
      </c>
      <c r="B150" s="16" t="s">
        <v>354</v>
      </c>
      <c r="C150" s="18">
        <f>+'elem incorp'!$J$9</f>
        <v>3.78</v>
      </c>
      <c r="D150" s="18">
        <f t="shared" si="1"/>
        <v>3.78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>
        <f>C150</f>
        <v>3.78</v>
      </c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62">
        <f t="shared" si="0"/>
        <v>0</v>
      </c>
    </row>
    <row r="151" spans="1:49" ht="12.75">
      <c r="A151" s="14">
        <v>6120000101</v>
      </c>
      <c r="B151" s="16" t="s">
        <v>355</v>
      </c>
      <c r="C151" s="18">
        <v>1327.8</v>
      </c>
      <c r="D151" s="18">
        <f t="shared" si="1"/>
        <v>0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62">
        <f t="shared" si="0"/>
        <v>0</v>
      </c>
    </row>
    <row r="152" spans="1:49" ht="12.75">
      <c r="A152" s="14">
        <v>6120000102</v>
      </c>
      <c r="B152" s="16" t="s">
        <v>356</v>
      </c>
      <c r="C152" s="18">
        <v>-674.54</v>
      </c>
      <c r="D152" s="18">
        <f t="shared" si="1"/>
        <v>0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62">
        <f t="shared" si="0"/>
        <v>0</v>
      </c>
    </row>
    <row r="153" spans="1:49" ht="12.75">
      <c r="A153" s="14">
        <v>6120000103</v>
      </c>
      <c r="B153" s="16" t="s">
        <v>357</v>
      </c>
      <c r="C153" s="18">
        <v>2597.65</v>
      </c>
      <c r="D153" s="18">
        <f t="shared" si="1"/>
        <v>0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62">
        <f t="shared" si="0"/>
        <v>0</v>
      </c>
    </row>
    <row r="154" spans="1:49" ht="12.75">
      <c r="A154" s="14">
        <v>6120000104</v>
      </c>
      <c r="B154" s="16" t="s">
        <v>358</v>
      </c>
      <c r="C154" s="18">
        <v>1987.5</v>
      </c>
      <c r="D154" s="18">
        <f t="shared" si="1"/>
        <v>0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62">
        <f t="shared" si="0"/>
        <v>0</v>
      </c>
    </row>
    <row r="155" spans="1:49" ht="12.75">
      <c r="A155" s="14">
        <v>6220000001</v>
      </c>
      <c r="B155" s="17" t="s">
        <v>359</v>
      </c>
      <c r="C155" s="18">
        <v>5700</v>
      </c>
      <c r="D155" s="18">
        <f t="shared" si="1"/>
        <v>5700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>
        <f>C155</f>
        <v>5700</v>
      </c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62">
        <f t="shared" si="0"/>
        <v>0</v>
      </c>
    </row>
    <row r="156" spans="1:49" ht="12.75">
      <c r="A156" s="14">
        <v>6220000002</v>
      </c>
      <c r="B156" s="14" t="s">
        <v>360</v>
      </c>
      <c r="C156" s="18">
        <v>5000</v>
      </c>
      <c r="D156" s="18">
        <f t="shared" si="1"/>
        <v>5000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>
        <f>C156</f>
        <v>5000</v>
      </c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62">
        <f t="shared" si="0"/>
        <v>0</v>
      </c>
    </row>
    <row r="157" spans="1:49" ht="12.75">
      <c r="A157" s="14">
        <v>6230000001</v>
      </c>
      <c r="B157" s="16" t="s">
        <v>214</v>
      </c>
      <c r="C157" s="18">
        <v>1200</v>
      </c>
      <c r="D157" s="18">
        <f t="shared" si="1"/>
        <v>1200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>
        <v>1000</v>
      </c>
      <c r="AO157" s="8"/>
      <c r="AP157" s="8">
        <v>200</v>
      </c>
      <c r="AQ157" s="8"/>
      <c r="AR157" s="8"/>
      <c r="AS157" s="8"/>
      <c r="AT157" s="8"/>
      <c r="AU157" s="8"/>
      <c r="AV157" s="8"/>
      <c r="AW157" s="62">
        <f t="shared" si="0"/>
        <v>0</v>
      </c>
    </row>
    <row r="158" spans="1:49" ht="12.75">
      <c r="A158" s="14">
        <v>6240000001</v>
      </c>
      <c r="B158" s="16" t="s">
        <v>361</v>
      </c>
      <c r="C158" s="18">
        <v>86400</v>
      </c>
      <c r="D158" s="18">
        <f t="shared" si="1"/>
        <v>86400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>
        <f>C158</f>
        <v>86400</v>
      </c>
      <c r="AV158" s="8"/>
      <c r="AW158" s="62">
        <f t="shared" si="0"/>
        <v>0</v>
      </c>
    </row>
    <row r="159" spans="1:49" ht="12.75">
      <c r="A159" s="14">
        <v>6270000001</v>
      </c>
      <c r="B159" s="15" t="s">
        <v>362</v>
      </c>
      <c r="C159" s="18">
        <v>3400</v>
      </c>
      <c r="D159" s="18">
        <f t="shared" si="1"/>
        <v>3400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>
        <f>C159</f>
        <v>3400</v>
      </c>
      <c r="AU159" s="8"/>
      <c r="AV159" s="8"/>
      <c r="AW159" s="62">
        <f t="shared" si="0"/>
        <v>0</v>
      </c>
    </row>
    <row r="160" spans="1:49" ht="12.75">
      <c r="A160" s="14">
        <v>6270000002</v>
      </c>
      <c r="B160" s="16" t="s">
        <v>363</v>
      </c>
      <c r="C160" s="18">
        <v>8700.45</v>
      </c>
      <c r="D160" s="18">
        <f t="shared" si="1"/>
        <v>8700.45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>
        <f>C160</f>
        <v>8700.45</v>
      </c>
      <c r="AU160" s="8"/>
      <c r="AV160" s="8"/>
      <c r="AW160" s="62">
        <f t="shared" si="0"/>
        <v>0</v>
      </c>
    </row>
    <row r="161" spans="1:49" ht="12.75">
      <c r="A161" s="14">
        <v>6270000003</v>
      </c>
      <c r="B161" s="16" t="s">
        <v>364</v>
      </c>
      <c r="C161" s="18">
        <v>3600</v>
      </c>
      <c r="D161" s="18">
        <f t="shared" si="1"/>
        <v>3600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>
        <f>C161</f>
        <v>3600</v>
      </c>
      <c r="AU161" s="8"/>
      <c r="AV161" s="8"/>
      <c r="AW161" s="62">
        <f t="shared" si="0"/>
        <v>0</v>
      </c>
    </row>
    <row r="162" spans="1:49" ht="12.75">
      <c r="A162" s="14">
        <v>6270000004</v>
      </c>
      <c r="B162" s="16" t="s">
        <v>365</v>
      </c>
      <c r="C162" s="18">
        <v>19700</v>
      </c>
      <c r="D162" s="18">
        <f t="shared" si="1"/>
        <v>19700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>
        <f>C162</f>
        <v>19700</v>
      </c>
      <c r="AT162" s="8"/>
      <c r="AU162" s="8"/>
      <c r="AV162" s="8"/>
      <c r="AW162" s="62">
        <f t="shared" si="0"/>
        <v>0</v>
      </c>
    </row>
    <row r="163" spans="1:49" ht="12.75">
      <c r="A163" s="14">
        <v>6280000001</v>
      </c>
      <c r="B163" s="14" t="s">
        <v>6</v>
      </c>
      <c r="C163" s="174">
        <v>15632.43</v>
      </c>
      <c r="D163" s="18">
        <f t="shared" si="1"/>
        <v>15632.429999999998</v>
      </c>
      <c r="E163" s="8">
        <v>678.4</v>
      </c>
      <c r="F163" s="8">
        <v>574.2</v>
      </c>
      <c r="G163" s="8"/>
      <c r="H163" s="8">
        <v>423</v>
      </c>
      <c r="I163" s="8">
        <v>198.4</v>
      </c>
      <c r="J163" s="8">
        <v>157.4</v>
      </c>
      <c r="K163" s="8">
        <v>287.48</v>
      </c>
      <c r="L163" s="8">
        <v>585.75</v>
      </c>
      <c r="M163" s="8">
        <v>387.65</v>
      </c>
      <c r="N163" s="8">
        <v>255</v>
      </c>
      <c r="O163" s="8">
        <v>187.66</v>
      </c>
      <c r="P163" s="8">
        <v>78.57</v>
      </c>
      <c r="Q163" s="8"/>
      <c r="R163" s="8">
        <v>246.81</v>
      </c>
      <c r="S163" s="8">
        <v>278.63</v>
      </c>
      <c r="T163" s="8">
        <v>53.7</v>
      </c>
      <c r="U163" s="8">
        <v>352.64</v>
      </c>
      <c r="V163" s="8">
        <v>1968.7</v>
      </c>
      <c r="W163" s="8">
        <v>1436.78</v>
      </c>
      <c r="X163" s="8">
        <v>442.59</v>
      </c>
      <c r="Y163" s="8">
        <v>249.54</v>
      </c>
      <c r="Z163" s="8">
        <v>2487</v>
      </c>
      <c r="AA163" s="8">
        <v>248.65</v>
      </c>
      <c r="AB163" s="8">
        <v>1487.65</v>
      </c>
      <c r="AC163" s="8">
        <v>287.64</v>
      </c>
      <c r="AD163" s="8">
        <v>246.35</v>
      </c>
      <c r="AE163" s="8">
        <v>368.74</v>
      </c>
      <c r="AF163" s="8">
        <v>387</v>
      </c>
      <c r="AG163" s="8">
        <v>787</v>
      </c>
      <c r="AH163" s="8">
        <v>489.5</v>
      </c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62">
        <f t="shared" si="0"/>
        <v>0</v>
      </c>
    </row>
    <row r="164" spans="1:49" ht="12.75">
      <c r="A164" s="14">
        <v>6290000002</v>
      </c>
      <c r="B164" s="14" t="s">
        <v>7</v>
      </c>
      <c r="C164" s="174">
        <v>670</v>
      </c>
      <c r="D164" s="18">
        <f t="shared" si="1"/>
        <v>670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>
        <f>$C$164/4</f>
        <v>167.5</v>
      </c>
      <c r="AL164" s="8"/>
      <c r="AM164" s="8"/>
      <c r="AN164" s="8">
        <f>$C$164/4</f>
        <v>167.5</v>
      </c>
      <c r="AO164" s="8"/>
      <c r="AP164" s="8">
        <f>$C$164/4</f>
        <v>167.5</v>
      </c>
      <c r="AQ164" s="8"/>
      <c r="AR164" s="8">
        <f>$C$164/4</f>
        <v>167.5</v>
      </c>
      <c r="AS164" s="8"/>
      <c r="AT164" s="8"/>
      <c r="AU164" s="8"/>
      <c r="AV164" s="8"/>
      <c r="AW164" s="62">
        <f t="shared" si="0"/>
        <v>0</v>
      </c>
    </row>
    <row r="165" spans="1:49" ht="12.75">
      <c r="A165" s="14">
        <v>6290000007</v>
      </c>
      <c r="B165" s="14" t="s">
        <v>8</v>
      </c>
      <c r="C165" s="174">
        <v>1500</v>
      </c>
      <c r="D165" s="18">
        <f t="shared" si="1"/>
        <v>1500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>
        <f>C165</f>
        <v>1500</v>
      </c>
      <c r="AR165" s="8"/>
      <c r="AS165" s="8"/>
      <c r="AT165" s="8"/>
      <c r="AU165" s="8"/>
      <c r="AV165" s="8"/>
      <c r="AW165" s="62">
        <f t="shared" si="0"/>
        <v>0</v>
      </c>
    </row>
    <row r="166" spans="1:49" ht="12.75">
      <c r="A166" s="14">
        <v>6290000008</v>
      </c>
      <c r="B166" s="17" t="s">
        <v>213</v>
      </c>
      <c r="C166" s="174">
        <v>2798</v>
      </c>
      <c r="D166" s="18">
        <f t="shared" si="1"/>
        <v>2798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>
        <f>C166</f>
        <v>2798</v>
      </c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62">
        <f t="shared" si="0"/>
        <v>0</v>
      </c>
    </row>
    <row r="167" spans="1:49" ht="12.75">
      <c r="A167" s="14">
        <v>6290000012</v>
      </c>
      <c r="B167" s="17" t="s">
        <v>226</v>
      </c>
      <c r="C167" s="174">
        <v>7870</v>
      </c>
      <c r="D167" s="18">
        <f t="shared" si="1"/>
        <v>7870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>
        <f>C167</f>
        <v>7870</v>
      </c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62">
        <f t="shared" si="0"/>
        <v>0</v>
      </c>
    </row>
    <row r="168" spans="1:49" ht="12.75">
      <c r="A168" s="14">
        <v>6400000001</v>
      </c>
      <c r="B168" s="17" t="s">
        <v>366</v>
      </c>
      <c r="C168" s="174">
        <v>6450</v>
      </c>
      <c r="D168" s="18">
        <f t="shared" si="1"/>
        <v>6450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>
        <f>C168</f>
        <v>6450</v>
      </c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62">
        <f t="shared" si="0"/>
        <v>0</v>
      </c>
    </row>
    <row r="169" spans="1:49" ht="12.75">
      <c r="A169" s="14">
        <v>6400000002</v>
      </c>
      <c r="B169" s="17" t="s">
        <v>367</v>
      </c>
      <c r="C169" s="174">
        <v>3542</v>
      </c>
      <c r="D169" s="18">
        <f t="shared" si="1"/>
        <v>3542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>
        <f>$C169/4</f>
        <v>885.5</v>
      </c>
      <c r="AM169" s="8">
        <f>$C169/4</f>
        <v>885.5</v>
      </c>
      <c r="AN169" s="8">
        <f>$C169/4</f>
        <v>885.5</v>
      </c>
      <c r="AO169" s="8">
        <f>$C169/4</f>
        <v>885.5</v>
      </c>
      <c r="AP169" s="8"/>
      <c r="AQ169" s="8"/>
      <c r="AR169" s="8"/>
      <c r="AS169" s="8"/>
      <c r="AT169" s="8"/>
      <c r="AU169" s="8"/>
      <c r="AV169" s="8"/>
      <c r="AW169" s="62">
        <f aca="true" t="shared" si="2" ref="AW169:AW200">+D169-SUM(E169:AV169)</f>
        <v>0</v>
      </c>
    </row>
    <row r="170" spans="1:49" ht="12.75">
      <c r="A170" s="14">
        <v>6400000003</v>
      </c>
      <c r="B170" s="17" t="s">
        <v>368</v>
      </c>
      <c r="C170" s="174">
        <v>3870</v>
      </c>
      <c r="D170" s="18">
        <f t="shared" si="1"/>
        <v>3870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>
        <f>C170</f>
        <v>3870</v>
      </c>
      <c r="AS170" s="8"/>
      <c r="AT170" s="8"/>
      <c r="AU170" s="8"/>
      <c r="AV170" s="8"/>
      <c r="AW170" s="62">
        <f t="shared" si="2"/>
        <v>0</v>
      </c>
    </row>
    <row r="171" spans="1:49" ht="12.75">
      <c r="A171" s="14">
        <v>6400000004</v>
      </c>
      <c r="B171" s="17" t="s">
        <v>369</v>
      </c>
      <c r="C171" s="174">
        <v>2050</v>
      </c>
      <c r="D171" s="18">
        <f t="shared" si="1"/>
        <v>2050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>
        <f>C171</f>
        <v>2050</v>
      </c>
      <c r="AS171" s="8"/>
      <c r="AT171" s="8"/>
      <c r="AU171" s="8"/>
      <c r="AV171" s="8"/>
      <c r="AW171" s="62">
        <f t="shared" si="2"/>
        <v>0</v>
      </c>
    </row>
    <row r="172" spans="1:49" ht="12.75">
      <c r="A172" s="14">
        <v>6400000005</v>
      </c>
      <c r="B172" s="17" t="s">
        <v>370</v>
      </c>
      <c r="C172" s="174">
        <v>1870</v>
      </c>
      <c r="D172" s="18">
        <f t="shared" si="1"/>
        <v>1870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>
        <f>C172</f>
        <v>1870</v>
      </c>
      <c r="AS172" s="8"/>
      <c r="AT172" s="8"/>
      <c r="AU172" s="8"/>
      <c r="AV172" s="8"/>
      <c r="AW172" s="62">
        <f t="shared" si="2"/>
        <v>0</v>
      </c>
    </row>
    <row r="173" spans="1:49" ht="12.75">
      <c r="A173" s="14">
        <v>6400000006</v>
      </c>
      <c r="B173" s="17" t="s">
        <v>371</v>
      </c>
      <c r="C173" s="174">
        <v>1750</v>
      </c>
      <c r="D173" s="18">
        <f t="shared" si="1"/>
        <v>1750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>
        <f>C173</f>
        <v>1750</v>
      </c>
      <c r="AS173" s="8"/>
      <c r="AT173" s="8"/>
      <c r="AU173" s="8"/>
      <c r="AV173" s="8"/>
      <c r="AW173" s="62">
        <f t="shared" si="2"/>
        <v>0</v>
      </c>
    </row>
    <row r="174" spans="1:49" ht="12.75">
      <c r="A174" s="14">
        <v>6400000007</v>
      </c>
      <c r="B174" s="17" t="s">
        <v>372</v>
      </c>
      <c r="C174" s="174">
        <v>1250</v>
      </c>
      <c r="D174" s="18">
        <f t="shared" si="1"/>
        <v>1250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>
        <f>$C174/4</f>
        <v>312.5</v>
      </c>
      <c r="AM174" s="8">
        <f aca="true" t="shared" si="3" ref="AM174:AO175">$C174/4</f>
        <v>312.5</v>
      </c>
      <c r="AN174" s="8">
        <f t="shared" si="3"/>
        <v>312.5</v>
      </c>
      <c r="AO174" s="8">
        <f t="shared" si="3"/>
        <v>312.5</v>
      </c>
      <c r="AP174" s="8"/>
      <c r="AQ174" s="8"/>
      <c r="AR174" s="8"/>
      <c r="AS174" s="8"/>
      <c r="AT174" s="8"/>
      <c r="AU174" s="8"/>
      <c r="AV174" s="8"/>
      <c r="AW174" s="62">
        <f t="shared" si="2"/>
        <v>0</v>
      </c>
    </row>
    <row r="175" spans="1:49" ht="12.75">
      <c r="A175" s="14">
        <v>6400000008</v>
      </c>
      <c r="B175" s="17" t="s">
        <v>373</v>
      </c>
      <c r="C175" s="174">
        <v>1340</v>
      </c>
      <c r="D175" s="18">
        <f t="shared" si="1"/>
        <v>1340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>
        <f>$C175/4</f>
        <v>335</v>
      </c>
      <c r="AM175" s="8">
        <f t="shared" si="3"/>
        <v>335</v>
      </c>
      <c r="AN175" s="8">
        <f t="shared" si="3"/>
        <v>335</v>
      </c>
      <c r="AO175" s="8">
        <f t="shared" si="3"/>
        <v>335</v>
      </c>
      <c r="AP175" s="8"/>
      <c r="AQ175" s="8"/>
      <c r="AR175" s="8"/>
      <c r="AS175" s="8"/>
      <c r="AT175" s="8"/>
      <c r="AU175" s="8"/>
      <c r="AV175" s="8"/>
      <c r="AW175" s="62">
        <f t="shared" si="2"/>
        <v>0</v>
      </c>
    </row>
    <row r="176" spans="1:49" ht="12.75">
      <c r="A176" s="14">
        <v>6400000009</v>
      </c>
      <c r="B176" s="17" t="s">
        <v>374</v>
      </c>
      <c r="C176" s="174">
        <v>3150</v>
      </c>
      <c r="D176" s="18">
        <f t="shared" si="1"/>
        <v>3150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>
        <f>C176</f>
        <v>3150</v>
      </c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62">
        <f t="shared" si="2"/>
        <v>0</v>
      </c>
    </row>
    <row r="177" spans="1:49" ht="12.75">
      <c r="A177" s="14">
        <v>6400000010</v>
      </c>
      <c r="B177" s="17" t="s">
        <v>375</v>
      </c>
      <c r="C177" s="174">
        <v>3278</v>
      </c>
      <c r="D177" s="18">
        <f t="shared" si="1"/>
        <v>3278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>
        <f>C177</f>
        <v>3278</v>
      </c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62">
        <f t="shared" si="2"/>
        <v>0</v>
      </c>
    </row>
    <row r="178" spans="1:49" ht="12.75">
      <c r="A178" s="14">
        <v>6400000011</v>
      </c>
      <c r="B178" s="17" t="s">
        <v>376</v>
      </c>
      <c r="C178" s="174">
        <v>1280</v>
      </c>
      <c r="D178" s="18">
        <f t="shared" si="1"/>
        <v>0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62">
        <f t="shared" si="2"/>
        <v>0</v>
      </c>
    </row>
    <row r="179" spans="1:49" ht="12.75">
      <c r="A179" s="14">
        <v>6400000012</v>
      </c>
      <c r="B179" s="17" t="s">
        <v>377</v>
      </c>
      <c r="C179" s="174">
        <v>1158</v>
      </c>
      <c r="D179" s="18">
        <f t="shared" si="1"/>
        <v>0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62">
        <f t="shared" si="2"/>
        <v>0</v>
      </c>
    </row>
    <row r="180" spans="1:49" ht="12.75">
      <c r="A180" s="14">
        <v>6400000013</v>
      </c>
      <c r="B180" s="17" t="s">
        <v>378</v>
      </c>
      <c r="C180" s="174">
        <v>1045</v>
      </c>
      <c r="D180" s="18">
        <f t="shared" si="1"/>
        <v>0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62">
        <f t="shared" si="2"/>
        <v>0</v>
      </c>
    </row>
    <row r="181" spans="1:49" ht="12.75">
      <c r="A181" s="14">
        <v>6400000014</v>
      </c>
      <c r="B181" s="17" t="s">
        <v>379</v>
      </c>
      <c r="C181" s="174">
        <v>1258</v>
      </c>
      <c r="D181" s="18">
        <f t="shared" si="1"/>
        <v>0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62">
        <f t="shared" si="2"/>
        <v>0</v>
      </c>
    </row>
    <row r="182" spans="1:49" ht="12.75">
      <c r="A182" s="14">
        <v>6400000015</v>
      </c>
      <c r="B182" s="17" t="s">
        <v>380</v>
      </c>
      <c r="C182" s="174">
        <v>1371</v>
      </c>
      <c r="D182" s="18">
        <f t="shared" si="1"/>
        <v>0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62">
        <f t="shared" si="2"/>
        <v>0</v>
      </c>
    </row>
    <row r="183" spans="1:49" ht="12.75">
      <c r="A183" s="14">
        <v>6400000016</v>
      </c>
      <c r="B183" s="17" t="s">
        <v>381</v>
      </c>
      <c r="C183" s="174">
        <v>1452</v>
      </c>
      <c r="D183" s="18">
        <f t="shared" si="1"/>
        <v>0</v>
      </c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62">
        <f t="shared" si="2"/>
        <v>0</v>
      </c>
    </row>
    <row r="184" spans="1:49" ht="12.75">
      <c r="A184" s="14">
        <v>6400000017</v>
      </c>
      <c r="B184" s="17" t="s">
        <v>382</v>
      </c>
      <c r="C184" s="174">
        <v>1254</v>
      </c>
      <c r="D184" s="18">
        <f t="shared" si="1"/>
        <v>0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62">
        <f t="shared" si="2"/>
        <v>0</v>
      </c>
    </row>
    <row r="185" spans="1:49" ht="12.75">
      <c r="A185" s="14">
        <v>6400000018</v>
      </c>
      <c r="B185" s="17" t="s">
        <v>383</v>
      </c>
      <c r="C185" s="174">
        <v>1105</v>
      </c>
      <c r="D185" s="18">
        <f t="shared" si="1"/>
        <v>0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62">
        <f t="shared" si="2"/>
        <v>0</v>
      </c>
    </row>
    <row r="186" spans="1:49" ht="12.75">
      <c r="A186" s="14">
        <v>6400000019</v>
      </c>
      <c r="B186" s="17" t="s">
        <v>384</v>
      </c>
      <c r="C186" s="174">
        <v>1963</v>
      </c>
      <c r="D186" s="18">
        <f t="shared" si="1"/>
        <v>1963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>
        <f>C186</f>
        <v>1963</v>
      </c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62">
        <f t="shared" si="2"/>
        <v>0</v>
      </c>
    </row>
    <row r="187" spans="1:49" ht="12.75">
      <c r="A187" s="14">
        <v>6400000020</v>
      </c>
      <c r="B187" s="17" t="s">
        <v>385</v>
      </c>
      <c r="C187" s="174">
        <v>1684</v>
      </c>
      <c r="D187" s="18">
        <f t="shared" si="1"/>
        <v>1684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>
        <f>C187</f>
        <v>1684</v>
      </c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62">
        <f t="shared" si="2"/>
        <v>0</v>
      </c>
    </row>
    <row r="188" spans="1:49" ht="12.75">
      <c r="A188" s="14">
        <v>6400000021</v>
      </c>
      <c r="B188" s="17" t="s">
        <v>386</v>
      </c>
      <c r="C188" s="174">
        <v>1795</v>
      </c>
      <c r="D188" s="18">
        <f t="shared" si="1"/>
        <v>1795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>
        <f>C188</f>
        <v>1795</v>
      </c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62">
        <f t="shared" si="2"/>
        <v>0</v>
      </c>
    </row>
    <row r="189" spans="1:49" ht="12.75">
      <c r="A189" s="14">
        <v>6400000022</v>
      </c>
      <c r="B189" s="17" t="s">
        <v>387</v>
      </c>
      <c r="C189" s="174">
        <v>1563</v>
      </c>
      <c r="D189" s="18">
        <f t="shared" si="1"/>
        <v>1563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>
        <f>C189</f>
        <v>1563</v>
      </c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62">
        <f t="shared" si="2"/>
        <v>0</v>
      </c>
    </row>
    <row r="190" spans="1:49" ht="12.75">
      <c r="A190" s="14">
        <v>6400000023</v>
      </c>
      <c r="B190" s="17" t="s">
        <v>388</v>
      </c>
      <c r="C190" s="174">
        <v>1187</v>
      </c>
      <c r="D190" s="18">
        <f t="shared" si="1"/>
        <v>1187</v>
      </c>
      <c r="E190" s="8">
        <f>$C190*0.2</f>
        <v>237.4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>
        <f>C190*0.8</f>
        <v>949.6</v>
      </c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62">
        <f t="shared" si="2"/>
        <v>0</v>
      </c>
    </row>
    <row r="191" spans="1:49" ht="12.75">
      <c r="A191" s="14">
        <v>6400000024</v>
      </c>
      <c r="B191" s="17" t="s">
        <v>389</v>
      </c>
      <c r="C191" s="174">
        <v>1190</v>
      </c>
      <c r="D191" s="18">
        <f t="shared" si="1"/>
        <v>1190</v>
      </c>
      <c r="E191" s="8">
        <f>$C191*0.2</f>
        <v>238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>
        <f>C191*0.8</f>
        <v>952</v>
      </c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62">
        <f t="shared" si="2"/>
        <v>0</v>
      </c>
    </row>
    <row r="192" spans="1:49" ht="12.75">
      <c r="A192" s="14">
        <v>6420000001</v>
      </c>
      <c r="B192" s="17" t="s">
        <v>167</v>
      </c>
      <c r="C192" s="174">
        <v>12825.14</v>
      </c>
      <c r="D192" s="18">
        <f t="shared" si="1"/>
        <v>10165.776</v>
      </c>
      <c r="E192" s="8">
        <f aca="true" t="shared" si="4" ref="E192:AJ192">$C$192/SUM($C$168:$C$191)*SUM(E168:E191)</f>
        <v>127.40719999999997</v>
      </c>
      <c r="F192" s="8">
        <f t="shared" si="4"/>
        <v>0</v>
      </c>
      <c r="G192" s="8">
        <f t="shared" si="4"/>
        <v>0</v>
      </c>
      <c r="H192" s="8">
        <f t="shared" si="4"/>
        <v>0</v>
      </c>
      <c r="I192" s="8">
        <f t="shared" si="4"/>
        <v>0</v>
      </c>
      <c r="J192" s="8">
        <f t="shared" si="4"/>
        <v>0</v>
      </c>
      <c r="K192" s="8">
        <f t="shared" si="4"/>
        <v>0</v>
      </c>
      <c r="L192" s="8">
        <f t="shared" si="4"/>
        <v>0</v>
      </c>
      <c r="M192" s="8">
        <f t="shared" si="4"/>
        <v>0</v>
      </c>
      <c r="N192" s="8">
        <f t="shared" si="4"/>
        <v>0</v>
      </c>
      <c r="O192" s="8">
        <f t="shared" si="4"/>
        <v>0</v>
      </c>
      <c r="P192" s="8">
        <f t="shared" si="4"/>
        <v>0</v>
      </c>
      <c r="Q192" s="8">
        <f t="shared" si="4"/>
        <v>526.084</v>
      </c>
      <c r="R192" s="8">
        <f t="shared" si="4"/>
        <v>0</v>
      </c>
      <c r="S192" s="8">
        <f t="shared" si="4"/>
        <v>0</v>
      </c>
      <c r="T192" s="8">
        <f t="shared" si="4"/>
        <v>0</v>
      </c>
      <c r="U192" s="8">
        <f t="shared" si="4"/>
        <v>0</v>
      </c>
      <c r="V192" s="8">
        <f t="shared" si="4"/>
        <v>0</v>
      </c>
      <c r="W192" s="8">
        <f t="shared" si="4"/>
        <v>0</v>
      </c>
      <c r="X192" s="8">
        <f t="shared" si="4"/>
        <v>0</v>
      </c>
      <c r="Y192" s="8">
        <f t="shared" si="4"/>
        <v>0</v>
      </c>
      <c r="Z192" s="8">
        <f t="shared" si="4"/>
        <v>0</v>
      </c>
      <c r="AA192" s="8">
        <f t="shared" si="4"/>
        <v>0</v>
      </c>
      <c r="AB192" s="8">
        <f t="shared" si="4"/>
        <v>0</v>
      </c>
      <c r="AC192" s="8">
        <f t="shared" si="4"/>
        <v>0</v>
      </c>
      <c r="AD192" s="8">
        <f t="shared" si="4"/>
        <v>0</v>
      </c>
      <c r="AE192" s="8">
        <f t="shared" si="4"/>
        <v>0</v>
      </c>
      <c r="AF192" s="8">
        <f t="shared" si="4"/>
        <v>0</v>
      </c>
      <c r="AG192" s="8">
        <f t="shared" si="4"/>
        <v>509.6287999999999</v>
      </c>
      <c r="AH192" s="8">
        <f t="shared" si="4"/>
        <v>0</v>
      </c>
      <c r="AI192" s="8">
        <f t="shared" si="4"/>
        <v>1722.7039999999997</v>
      </c>
      <c r="AJ192" s="8">
        <f t="shared" si="4"/>
        <v>1351.2559999999999</v>
      </c>
      <c r="AK192" s="8">
        <f>$C$192/SUM($C$168:$C$191)*SUM(AK168:AK191)</f>
        <v>1728.5999999999997</v>
      </c>
      <c r="AL192" s="8">
        <f aca="true" t="shared" si="5" ref="AL192:AV192">$C$192/SUM($C$168:$C$191)*SUM(AL168:AL191)</f>
        <v>410.84399999999994</v>
      </c>
      <c r="AM192" s="8">
        <f t="shared" si="5"/>
        <v>410.84399999999994</v>
      </c>
      <c r="AN192" s="8">
        <f t="shared" si="5"/>
        <v>410.84399999999994</v>
      </c>
      <c r="AO192" s="8">
        <f t="shared" si="5"/>
        <v>410.84399999999994</v>
      </c>
      <c r="AP192" s="8">
        <f t="shared" si="5"/>
        <v>0</v>
      </c>
      <c r="AQ192" s="8">
        <f t="shared" si="5"/>
        <v>0</v>
      </c>
      <c r="AR192" s="8">
        <f t="shared" si="5"/>
        <v>2556.72</v>
      </c>
      <c r="AS192" s="8">
        <f t="shared" si="5"/>
        <v>0</v>
      </c>
      <c r="AT192" s="8">
        <f t="shared" si="5"/>
        <v>0</v>
      </c>
      <c r="AU192" s="8">
        <f t="shared" si="5"/>
        <v>0</v>
      </c>
      <c r="AV192" s="8">
        <f t="shared" si="5"/>
        <v>0</v>
      </c>
      <c r="AW192" s="62">
        <f t="shared" si="2"/>
        <v>0</v>
      </c>
    </row>
    <row r="193" spans="1:49" ht="12.75">
      <c r="A193" s="14">
        <v>6623000001</v>
      </c>
      <c r="B193" s="14" t="s">
        <v>390</v>
      </c>
      <c r="C193" s="174">
        <v>2758.45</v>
      </c>
      <c r="D193" s="18">
        <f t="shared" si="1"/>
        <v>0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62">
        <f t="shared" si="2"/>
        <v>0</v>
      </c>
    </row>
    <row r="194" spans="1:49" ht="12.75">
      <c r="A194" s="14">
        <v>6623000002</v>
      </c>
      <c r="B194" s="17" t="s">
        <v>270</v>
      </c>
      <c r="C194" s="174">
        <v>2146.87</v>
      </c>
      <c r="D194" s="18">
        <f t="shared" si="1"/>
        <v>0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62">
        <f t="shared" si="2"/>
        <v>0</v>
      </c>
    </row>
    <row r="195" spans="1:49" ht="12.75">
      <c r="A195" s="14">
        <v>6803020301</v>
      </c>
      <c r="B195" s="17" t="s">
        <v>391</v>
      </c>
      <c r="C195" s="174">
        <v>86.67</v>
      </c>
      <c r="D195" s="18">
        <f t="shared" si="1"/>
        <v>86.67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6"/>
      <c r="AU195" s="8"/>
      <c r="AV195" s="8">
        <f>C195</f>
        <v>86.67</v>
      </c>
      <c r="AW195" s="62">
        <f t="shared" si="2"/>
        <v>0</v>
      </c>
    </row>
    <row r="196" spans="1:49" ht="12.75">
      <c r="A196" s="14">
        <v>6803020302</v>
      </c>
      <c r="B196" s="17" t="s">
        <v>392</v>
      </c>
      <c r="C196" s="174">
        <v>113.33</v>
      </c>
      <c r="D196" s="18">
        <f t="shared" si="1"/>
        <v>113.33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6"/>
      <c r="AU196" s="8"/>
      <c r="AV196" s="8">
        <f>C196</f>
        <v>113.33</v>
      </c>
      <c r="AW196" s="62">
        <f t="shared" si="2"/>
        <v>0</v>
      </c>
    </row>
    <row r="197" spans="1:49" ht="12.75">
      <c r="A197" s="14">
        <v>6811021101</v>
      </c>
      <c r="B197" s="14" t="s">
        <v>393</v>
      </c>
      <c r="C197" s="174">
        <v>700</v>
      </c>
      <c r="D197" s="18">
        <f t="shared" si="1"/>
        <v>700</v>
      </c>
      <c r="E197" s="8">
        <f>+C197*0.2</f>
        <v>140</v>
      </c>
      <c r="F197" s="8">
        <f>+C197*0.02</f>
        <v>14</v>
      </c>
      <c r="G197" s="8"/>
      <c r="H197" s="8">
        <f>+C197*0.03</f>
        <v>21</v>
      </c>
      <c r="I197" s="8">
        <f>+$C$197*0.01</f>
        <v>7</v>
      </c>
      <c r="J197" s="8">
        <f>+$C$197*0.01</f>
        <v>7</v>
      </c>
      <c r="K197" s="8">
        <f>+$C$197*0.01</f>
        <v>7</v>
      </c>
      <c r="L197" s="8">
        <f>+$C$197*0.01</f>
        <v>7</v>
      </c>
      <c r="M197" s="8">
        <f>+$C$197*0.01</f>
        <v>7</v>
      </c>
      <c r="N197" s="8">
        <f>+$C$197*0.02</f>
        <v>14</v>
      </c>
      <c r="O197" s="8">
        <f>+$C$197*0.01</f>
        <v>7</v>
      </c>
      <c r="P197" s="8">
        <f>+$C$197*0.01</f>
        <v>7</v>
      </c>
      <c r="Q197" s="8"/>
      <c r="R197" s="8">
        <f>+$C$197*0.01</f>
        <v>7</v>
      </c>
      <c r="S197" s="8">
        <f>+$C$197*0.02</f>
        <v>14</v>
      </c>
      <c r="T197" s="8"/>
      <c r="U197" s="8">
        <f>+$C$197*0.01</f>
        <v>7</v>
      </c>
      <c r="V197" s="8">
        <f>+$C$197*0.02</f>
        <v>14</v>
      </c>
      <c r="W197" s="8">
        <f>+$C$197*0.02</f>
        <v>14</v>
      </c>
      <c r="X197" s="8">
        <f>+$C$197*0.02</f>
        <v>14</v>
      </c>
      <c r="Y197" s="8">
        <f>+$C$197*0.02</f>
        <v>14</v>
      </c>
      <c r="Z197" s="8">
        <f>+$C$197*0.09</f>
        <v>63</v>
      </c>
      <c r="AA197" s="8">
        <f>+$C$197*0.02</f>
        <v>14</v>
      </c>
      <c r="AB197" s="8">
        <f>+$C$197*0.04</f>
        <v>28</v>
      </c>
      <c r="AC197" s="8">
        <f>+$C$197*0.02</f>
        <v>14</v>
      </c>
      <c r="AD197" s="8">
        <f>+$C$197*0.02</f>
        <v>14</v>
      </c>
      <c r="AE197" s="8">
        <f>+$C$197*0.03</f>
        <v>21</v>
      </c>
      <c r="AF197" s="8">
        <f>+$C$197*0.02</f>
        <v>14</v>
      </c>
      <c r="AG197" s="8">
        <f>+$C$197*0.18</f>
        <v>126</v>
      </c>
      <c r="AH197" s="8">
        <f>+$C$197*0.02</f>
        <v>14</v>
      </c>
      <c r="AI197" s="8"/>
      <c r="AJ197" s="8"/>
      <c r="AK197" s="8">
        <f>+$C$197*0.02</f>
        <v>14</v>
      </c>
      <c r="AL197" s="8">
        <f>+$C$197*0.01</f>
        <v>7</v>
      </c>
      <c r="AM197" s="8">
        <f>+$C$197*0.01</f>
        <v>7</v>
      </c>
      <c r="AN197" s="8">
        <f>+$C$197*0.01</f>
        <v>7</v>
      </c>
      <c r="AO197" s="8">
        <f>+$C$197*0.01</f>
        <v>7</v>
      </c>
      <c r="AP197" s="8">
        <f>+$C$197*0.01</f>
        <v>7</v>
      </c>
      <c r="AQ197" s="8"/>
      <c r="AR197" s="8">
        <f>+$C$197*0.03</f>
        <v>21</v>
      </c>
      <c r="AS197" s="8"/>
      <c r="AT197" s="8"/>
      <c r="AU197" s="8"/>
      <c r="AV197" s="8"/>
      <c r="AW197" s="62">
        <f t="shared" si="2"/>
        <v>0</v>
      </c>
    </row>
    <row r="198" spans="1:49" ht="12.75">
      <c r="A198" s="14">
        <v>6812021201</v>
      </c>
      <c r="B198" s="17" t="s">
        <v>394</v>
      </c>
      <c r="C198" s="174">
        <v>297.92</v>
      </c>
      <c r="D198" s="18">
        <f t="shared" si="1"/>
        <v>297.92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>
        <f>C198</f>
        <v>297.92</v>
      </c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62">
        <f t="shared" si="2"/>
        <v>0</v>
      </c>
    </row>
    <row r="199" spans="1:49" ht="12.75">
      <c r="A199" s="14">
        <v>6813021305</v>
      </c>
      <c r="B199" s="17" t="s">
        <v>395</v>
      </c>
      <c r="C199" s="174">
        <v>141.67</v>
      </c>
      <c r="D199" s="18">
        <f t="shared" si="1"/>
        <v>141.67</v>
      </c>
      <c r="E199" s="8">
        <f>$C199*0.2</f>
        <v>28.334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>
        <f>$C199*0.8</f>
        <v>113.336</v>
      </c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62">
        <f t="shared" si="2"/>
        <v>0</v>
      </c>
    </row>
    <row r="200" spans="1:49" ht="12.75">
      <c r="A200" s="14">
        <v>6813021306</v>
      </c>
      <c r="B200" s="17" t="s">
        <v>396</v>
      </c>
      <c r="C200" s="174">
        <v>165</v>
      </c>
      <c r="D200" s="18">
        <f t="shared" si="1"/>
        <v>165</v>
      </c>
      <c r="E200" s="8">
        <f>$C200*0.2</f>
        <v>33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>
        <f>$C200*0.8</f>
        <v>132</v>
      </c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62">
        <f t="shared" si="2"/>
        <v>0</v>
      </c>
    </row>
    <row r="201" spans="1:49" ht="12.75">
      <c r="A201" s="14">
        <v>6815021501</v>
      </c>
      <c r="B201" s="17" t="s">
        <v>397</v>
      </c>
      <c r="C201" s="174">
        <v>40</v>
      </c>
      <c r="D201" s="18">
        <f t="shared" si="1"/>
        <v>40</v>
      </c>
      <c r="E201" s="8">
        <f>C201</f>
        <v>40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62">
        <f aca="true" t="shared" si="6" ref="AW201:AW232">+D201-SUM(E201:AV201)</f>
        <v>0</v>
      </c>
    </row>
    <row r="202" spans="1:49" ht="12.75">
      <c r="A202" s="14">
        <v>6815021501</v>
      </c>
      <c r="B202" s="17" t="s">
        <v>398</v>
      </c>
      <c r="C202" s="174">
        <v>136.67</v>
      </c>
      <c r="D202" s="18">
        <f t="shared" si="1"/>
        <v>136.67</v>
      </c>
      <c r="E202" s="8"/>
      <c r="F202" s="8">
        <f>C202</f>
        <v>136.67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62">
        <f t="shared" si="6"/>
        <v>0</v>
      </c>
    </row>
    <row r="203" spans="1:49" ht="12.75">
      <c r="A203" s="14">
        <v>6815021502</v>
      </c>
      <c r="B203" s="17" t="s">
        <v>399</v>
      </c>
      <c r="C203" s="174">
        <v>153.92</v>
      </c>
      <c r="D203" s="18">
        <f t="shared" si="1"/>
        <v>153.92</v>
      </c>
      <c r="E203" s="8"/>
      <c r="F203" s="8"/>
      <c r="G203" s="8"/>
      <c r="H203" s="8">
        <f>C203</f>
        <v>153.92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62">
        <f t="shared" si="6"/>
        <v>0</v>
      </c>
    </row>
    <row r="204" spans="1:49" ht="12.75">
      <c r="A204" s="14">
        <v>6815021503</v>
      </c>
      <c r="B204" s="17" t="s">
        <v>400</v>
      </c>
      <c r="C204" s="174">
        <v>186.67</v>
      </c>
      <c r="D204" s="18">
        <f aca="true" t="shared" si="7" ref="D204:D253">SUM(E204:AV204)</f>
        <v>186.67</v>
      </c>
      <c r="E204" s="8"/>
      <c r="F204" s="8"/>
      <c r="G204" s="8"/>
      <c r="H204" s="8"/>
      <c r="I204" s="8">
        <f>C204</f>
        <v>186.67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62">
        <f t="shared" si="6"/>
        <v>0</v>
      </c>
    </row>
    <row r="205" spans="1:49" ht="12.75">
      <c r="A205" s="14">
        <v>6815021504</v>
      </c>
      <c r="B205" s="17" t="s">
        <v>401</v>
      </c>
      <c r="C205" s="174">
        <v>235.42</v>
      </c>
      <c r="D205" s="18">
        <f t="shared" si="7"/>
        <v>235.42</v>
      </c>
      <c r="E205" s="8"/>
      <c r="F205" s="8"/>
      <c r="G205" s="8"/>
      <c r="H205" s="8"/>
      <c r="I205" s="8"/>
      <c r="J205" s="8">
        <f>C205</f>
        <v>235.42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62">
        <f t="shared" si="6"/>
        <v>0</v>
      </c>
    </row>
    <row r="206" spans="1:49" ht="12.75">
      <c r="A206" s="14">
        <v>6815021507</v>
      </c>
      <c r="B206" s="17" t="s">
        <v>402</v>
      </c>
      <c r="C206" s="174">
        <v>123.33</v>
      </c>
      <c r="D206" s="18">
        <f t="shared" si="7"/>
        <v>123.33</v>
      </c>
      <c r="E206" s="8"/>
      <c r="F206" s="8"/>
      <c r="G206" s="8"/>
      <c r="H206" s="8"/>
      <c r="I206" s="8"/>
      <c r="J206" s="8">
        <f>C206</f>
        <v>123.33</v>
      </c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62">
        <f t="shared" si="6"/>
        <v>0</v>
      </c>
    </row>
    <row r="207" spans="1:49" ht="12.75">
      <c r="A207" s="14">
        <v>6815021508</v>
      </c>
      <c r="B207" s="17" t="s">
        <v>403</v>
      </c>
      <c r="C207" s="174">
        <v>230</v>
      </c>
      <c r="D207" s="18">
        <f t="shared" si="7"/>
        <v>230</v>
      </c>
      <c r="E207" s="8"/>
      <c r="F207" s="8"/>
      <c r="G207" s="8"/>
      <c r="H207" s="8"/>
      <c r="I207" s="8"/>
      <c r="J207" s="8"/>
      <c r="K207" s="8">
        <f>C207</f>
        <v>230</v>
      </c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62">
        <f t="shared" si="6"/>
        <v>0</v>
      </c>
    </row>
    <row r="208" spans="1:49" ht="12.75">
      <c r="A208" s="14">
        <v>6815021509</v>
      </c>
      <c r="B208" s="17" t="s">
        <v>404</v>
      </c>
      <c r="C208" s="174">
        <v>290.83</v>
      </c>
      <c r="D208" s="18">
        <f t="shared" si="7"/>
        <v>290.83</v>
      </c>
      <c r="E208" s="8"/>
      <c r="F208" s="8"/>
      <c r="G208" s="8"/>
      <c r="H208" s="8"/>
      <c r="I208" s="8"/>
      <c r="J208" s="8"/>
      <c r="K208" s="8"/>
      <c r="L208" s="8">
        <f>C208</f>
        <v>290.83</v>
      </c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62">
        <f t="shared" si="6"/>
        <v>0</v>
      </c>
    </row>
    <row r="209" spans="1:49" ht="12.75">
      <c r="A209" s="14">
        <v>6815021510</v>
      </c>
      <c r="B209" s="17" t="s">
        <v>405</v>
      </c>
      <c r="C209" s="174">
        <v>290.83</v>
      </c>
      <c r="D209" s="18">
        <f t="shared" si="7"/>
        <v>290.83</v>
      </c>
      <c r="E209" s="8"/>
      <c r="F209" s="8"/>
      <c r="G209" s="8"/>
      <c r="H209" s="8"/>
      <c r="I209" s="8"/>
      <c r="J209" s="8"/>
      <c r="K209" s="8"/>
      <c r="L209" s="8">
        <f>C209</f>
        <v>290.83</v>
      </c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62">
        <f t="shared" si="6"/>
        <v>0</v>
      </c>
    </row>
    <row r="210" spans="1:49" ht="12.75">
      <c r="A210" s="14">
        <v>6815021511</v>
      </c>
      <c r="B210" s="17" t="s">
        <v>406</v>
      </c>
      <c r="C210" s="174">
        <v>162.08</v>
      </c>
      <c r="D210" s="18">
        <f t="shared" si="7"/>
        <v>162.08</v>
      </c>
      <c r="E210" s="8"/>
      <c r="F210" s="8"/>
      <c r="G210" s="8"/>
      <c r="H210" s="8"/>
      <c r="I210" s="8"/>
      <c r="J210" s="8"/>
      <c r="K210" s="8"/>
      <c r="L210" s="8"/>
      <c r="M210" s="8">
        <f>C210</f>
        <v>162.08</v>
      </c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62">
        <f t="shared" si="6"/>
        <v>0</v>
      </c>
    </row>
    <row r="211" spans="1:49" ht="12.75">
      <c r="A211" s="14">
        <v>6815021512</v>
      </c>
      <c r="B211" s="17" t="s">
        <v>407</v>
      </c>
      <c r="C211" s="174">
        <v>157</v>
      </c>
      <c r="D211" s="18">
        <f t="shared" si="7"/>
        <v>157</v>
      </c>
      <c r="E211" s="8"/>
      <c r="F211" s="8"/>
      <c r="G211" s="8"/>
      <c r="H211" s="8"/>
      <c r="I211" s="8"/>
      <c r="J211" s="8"/>
      <c r="K211" s="8"/>
      <c r="L211" s="8"/>
      <c r="M211" s="8"/>
      <c r="N211" s="8">
        <f>C211</f>
        <v>157</v>
      </c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62">
        <f t="shared" si="6"/>
        <v>0</v>
      </c>
    </row>
    <row r="212" spans="1:49" ht="12.75">
      <c r="A212" s="14">
        <v>6815021513</v>
      </c>
      <c r="B212" s="17" t="s">
        <v>408</v>
      </c>
      <c r="C212" s="174">
        <v>122.5</v>
      </c>
      <c r="D212" s="18">
        <f t="shared" si="7"/>
        <v>122.5</v>
      </c>
      <c r="E212" s="8"/>
      <c r="F212" s="8"/>
      <c r="G212" s="8"/>
      <c r="H212" s="8"/>
      <c r="I212" s="8"/>
      <c r="J212" s="8"/>
      <c r="K212" s="8"/>
      <c r="L212" s="8"/>
      <c r="M212" s="8"/>
      <c r="N212" s="8">
        <f>C212</f>
        <v>122.5</v>
      </c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62">
        <f t="shared" si="6"/>
        <v>0</v>
      </c>
    </row>
    <row r="213" spans="1:49" ht="12.75">
      <c r="A213" s="14">
        <v>6815021514</v>
      </c>
      <c r="B213" s="17" t="s">
        <v>409</v>
      </c>
      <c r="C213" s="174">
        <v>241.25</v>
      </c>
      <c r="D213" s="18">
        <f t="shared" si="7"/>
        <v>241.25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>
        <f>C213</f>
        <v>241.25</v>
      </c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62">
        <f t="shared" si="6"/>
        <v>0</v>
      </c>
    </row>
    <row r="214" spans="1:49" ht="12.75">
      <c r="A214" s="14">
        <v>6815021515</v>
      </c>
      <c r="B214" s="17" t="s">
        <v>410</v>
      </c>
      <c r="C214" s="174">
        <v>302</v>
      </c>
      <c r="D214" s="18">
        <f t="shared" si="7"/>
        <v>302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>
        <f>C214</f>
        <v>302</v>
      </c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62">
        <f t="shared" si="6"/>
        <v>0</v>
      </c>
    </row>
    <row r="215" spans="1:49" ht="12.75">
      <c r="A215" s="14">
        <v>6815021516</v>
      </c>
      <c r="B215" s="17" t="s">
        <v>411</v>
      </c>
      <c r="C215" s="174">
        <v>170.67</v>
      </c>
      <c r="D215" s="18">
        <f t="shared" si="7"/>
        <v>170.67</v>
      </c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>
        <f>C215</f>
        <v>170.67</v>
      </c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62">
        <f t="shared" si="6"/>
        <v>0</v>
      </c>
    </row>
    <row r="216" spans="1:49" ht="12.75">
      <c r="A216" s="14">
        <v>6815021517</v>
      </c>
      <c r="B216" s="17" t="s">
        <v>412</v>
      </c>
      <c r="C216" s="174">
        <v>125.83</v>
      </c>
      <c r="D216" s="18">
        <f t="shared" si="7"/>
        <v>125.83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>
        <f>C216</f>
        <v>125.83</v>
      </c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62">
        <f t="shared" si="6"/>
        <v>0</v>
      </c>
    </row>
    <row r="217" spans="1:49" ht="12.75">
      <c r="A217" s="14">
        <v>6815021518</v>
      </c>
      <c r="B217" s="17" t="s">
        <v>413</v>
      </c>
      <c r="C217" s="174">
        <v>403.33</v>
      </c>
      <c r="D217" s="18">
        <f t="shared" si="7"/>
        <v>403.33</v>
      </c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>
        <f>C217</f>
        <v>403.33</v>
      </c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62">
        <f t="shared" si="6"/>
        <v>0</v>
      </c>
    </row>
    <row r="218" spans="1:49" ht="12.75">
      <c r="A218" s="14">
        <v>6815021519</v>
      </c>
      <c r="B218" s="17" t="s">
        <v>414</v>
      </c>
      <c r="C218" s="174">
        <v>403.33</v>
      </c>
      <c r="D218" s="18">
        <f t="shared" si="7"/>
        <v>403.33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>
        <f>C218</f>
        <v>403.33</v>
      </c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62">
        <f t="shared" si="6"/>
        <v>0</v>
      </c>
    </row>
    <row r="219" spans="1:49" ht="12.75">
      <c r="A219" s="14">
        <v>6815021520</v>
      </c>
      <c r="B219" s="17" t="s">
        <v>415</v>
      </c>
      <c r="C219" s="174">
        <v>305.42</v>
      </c>
      <c r="D219" s="18">
        <f t="shared" si="7"/>
        <v>305.42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>
        <f>C219</f>
        <v>305.42</v>
      </c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62">
        <f t="shared" si="6"/>
        <v>0</v>
      </c>
    </row>
    <row r="220" spans="1:49" ht="12.75">
      <c r="A220" s="14">
        <v>6815021521</v>
      </c>
      <c r="B220" s="17" t="s">
        <v>416</v>
      </c>
      <c r="C220" s="174">
        <v>220.83</v>
      </c>
      <c r="D220" s="18">
        <f t="shared" si="7"/>
        <v>220.83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>
        <f>C220</f>
        <v>220.83</v>
      </c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62">
        <f t="shared" si="6"/>
        <v>0</v>
      </c>
    </row>
    <row r="221" spans="1:49" ht="12.75">
      <c r="A221" s="14">
        <v>6815021522</v>
      </c>
      <c r="B221" s="17" t="s">
        <v>417</v>
      </c>
      <c r="C221" s="174">
        <v>131.83</v>
      </c>
      <c r="D221" s="18">
        <f t="shared" si="7"/>
        <v>131.83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>
        <f>C221</f>
        <v>131.83</v>
      </c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62">
        <f t="shared" si="6"/>
        <v>0</v>
      </c>
    </row>
    <row r="222" spans="1:49" ht="12.75">
      <c r="A222" s="14">
        <v>6815021523</v>
      </c>
      <c r="B222" s="17" t="s">
        <v>418</v>
      </c>
      <c r="C222" s="174">
        <v>390</v>
      </c>
      <c r="D222" s="18">
        <f t="shared" si="7"/>
        <v>390</v>
      </c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>
        <f>C222</f>
        <v>390</v>
      </c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62">
        <f t="shared" si="6"/>
        <v>0</v>
      </c>
    </row>
    <row r="223" spans="1:49" ht="12.75">
      <c r="A223" s="14">
        <v>6815021524</v>
      </c>
      <c r="B223" s="17" t="s">
        <v>419</v>
      </c>
      <c r="C223" s="174">
        <v>506.5</v>
      </c>
      <c r="D223" s="18">
        <f t="shared" si="7"/>
        <v>506.5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>
        <f>C223</f>
        <v>506.5</v>
      </c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62">
        <f t="shared" si="6"/>
        <v>0</v>
      </c>
    </row>
    <row r="224" spans="1:49" ht="12.75">
      <c r="A224" s="14">
        <v>6815021525</v>
      </c>
      <c r="B224" s="17" t="s">
        <v>420</v>
      </c>
      <c r="C224" s="174">
        <v>290.83</v>
      </c>
      <c r="D224" s="18">
        <f t="shared" si="7"/>
        <v>290.83</v>
      </c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>
        <f>C224</f>
        <v>290.83</v>
      </c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62">
        <f t="shared" si="6"/>
        <v>0</v>
      </c>
    </row>
    <row r="225" spans="1:49" ht="12.75">
      <c r="A225" s="14">
        <v>6815021526</v>
      </c>
      <c r="B225" s="17" t="s">
        <v>421</v>
      </c>
      <c r="C225" s="174">
        <v>1279.17</v>
      </c>
      <c r="D225" s="18">
        <f t="shared" si="7"/>
        <v>1279.17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>
        <f>C225</f>
        <v>1279.17</v>
      </c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62">
        <f t="shared" si="6"/>
        <v>0</v>
      </c>
    </row>
    <row r="226" spans="1:49" ht="12.75">
      <c r="A226" s="14">
        <v>6815021527</v>
      </c>
      <c r="B226" s="17" t="s">
        <v>422</v>
      </c>
      <c r="C226" s="174">
        <v>150</v>
      </c>
      <c r="D226" s="18">
        <f t="shared" si="7"/>
        <v>150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>
        <f>C226</f>
        <v>150</v>
      </c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62">
        <f t="shared" si="6"/>
        <v>0</v>
      </c>
    </row>
    <row r="227" spans="1:49" ht="12.75">
      <c r="A227" s="14">
        <v>6815021528</v>
      </c>
      <c r="B227" s="17" t="s">
        <v>423</v>
      </c>
      <c r="C227" s="174">
        <v>624.08</v>
      </c>
      <c r="D227" s="18">
        <f t="shared" si="7"/>
        <v>624.08</v>
      </c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>
        <f>C227</f>
        <v>624.08</v>
      </c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62">
        <f t="shared" si="6"/>
        <v>0</v>
      </c>
    </row>
    <row r="228" spans="1:49" ht="12.75">
      <c r="A228" s="14">
        <v>6815021529</v>
      </c>
      <c r="B228" s="17" t="s">
        <v>424</v>
      </c>
      <c r="C228" s="174">
        <v>179.08</v>
      </c>
      <c r="D228" s="18">
        <f t="shared" si="7"/>
        <v>179.08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>
        <f>C228</f>
        <v>179.08</v>
      </c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62">
        <f t="shared" si="6"/>
        <v>0</v>
      </c>
    </row>
    <row r="229" spans="1:49" ht="12.75">
      <c r="A229" s="14">
        <v>6815021530</v>
      </c>
      <c r="B229" s="17" t="s">
        <v>425</v>
      </c>
      <c r="C229" s="174">
        <v>290</v>
      </c>
      <c r="D229" s="18">
        <f t="shared" si="7"/>
        <v>290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>
        <f>C229</f>
        <v>290</v>
      </c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62">
        <f t="shared" si="6"/>
        <v>0</v>
      </c>
    </row>
    <row r="230" spans="1:49" ht="12.75">
      <c r="A230" s="14">
        <v>6815021531</v>
      </c>
      <c r="B230" s="17" t="s">
        <v>426</v>
      </c>
      <c r="C230" s="174">
        <v>216.67</v>
      </c>
      <c r="D230" s="18">
        <f t="shared" si="7"/>
        <v>216.67</v>
      </c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>
        <f>C230</f>
        <v>216.67</v>
      </c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62">
        <f t="shared" si="6"/>
        <v>0</v>
      </c>
    </row>
    <row r="231" spans="1:49" ht="12.75">
      <c r="A231" s="14">
        <v>6815021532</v>
      </c>
      <c r="B231" s="17" t="s">
        <v>427</v>
      </c>
      <c r="C231" s="174">
        <v>100</v>
      </c>
      <c r="D231" s="18">
        <f t="shared" si="7"/>
        <v>100</v>
      </c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>
        <f>C231</f>
        <v>100</v>
      </c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62">
        <f t="shared" si="6"/>
        <v>0</v>
      </c>
    </row>
    <row r="232" spans="1:49" ht="12.75">
      <c r="A232" s="14">
        <v>6815021533</v>
      </c>
      <c r="B232" s="17" t="s">
        <v>428</v>
      </c>
      <c r="C232" s="174">
        <v>783.33</v>
      </c>
      <c r="D232" s="18">
        <f t="shared" si="7"/>
        <v>783.33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>
        <f>C232</f>
        <v>783.33</v>
      </c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62">
        <f t="shared" si="6"/>
        <v>0</v>
      </c>
    </row>
    <row r="233" spans="1:49" ht="12.75">
      <c r="A233" s="14">
        <v>6815021534</v>
      </c>
      <c r="B233" s="17" t="s">
        <v>429</v>
      </c>
      <c r="C233" s="174">
        <v>204.17</v>
      </c>
      <c r="D233" s="18">
        <f t="shared" si="7"/>
        <v>204.17</v>
      </c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>
        <f>C233</f>
        <v>204.17</v>
      </c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62">
        <f aca="true" t="shared" si="8" ref="AW233:AW253">+D233-SUM(E233:AV233)</f>
        <v>0</v>
      </c>
    </row>
    <row r="234" spans="1:49" ht="12.75">
      <c r="A234" s="14">
        <v>6815021580</v>
      </c>
      <c r="B234" s="17" t="s">
        <v>430</v>
      </c>
      <c r="C234" s="174">
        <v>364.58</v>
      </c>
      <c r="D234" s="18">
        <f t="shared" si="7"/>
        <v>364.58</v>
      </c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>
        <f>C234</f>
        <v>364.58</v>
      </c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62">
        <f t="shared" si="8"/>
        <v>0</v>
      </c>
    </row>
    <row r="235" spans="1:49" ht="12.75">
      <c r="A235" s="14">
        <v>6818021802</v>
      </c>
      <c r="B235" s="17" t="s">
        <v>431</v>
      </c>
      <c r="C235" s="174">
        <v>225</v>
      </c>
      <c r="D235" s="18">
        <f t="shared" si="7"/>
        <v>225</v>
      </c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>
        <f>C235</f>
        <v>225</v>
      </c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62">
        <f t="shared" si="8"/>
        <v>0</v>
      </c>
    </row>
    <row r="236" spans="1:49" ht="12.75">
      <c r="A236" s="14">
        <v>6818021803</v>
      </c>
      <c r="B236" s="17" t="s">
        <v>432</v>
      </c>
      <c r="C236" s="174">
        <v>350</v>
      </c>
      <c r="D236" s="18">
        <f t="shared" si="7"/>
        <v>350</v>
      </c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>
        <f>C236</f>
        <v>350</v>
      </c>
      <c r="AS236" s="8"/>
      <c r="AT236" s="8"/>
      <c r="AU236" s="8"/>
      <c r="AV236" s="8"/>
      <c r="AW236" s="62">
        <f t="shared" si="8"/>
        <v>0</v>
      </c>
    </row>
    <row r="237" spans="1:49" ht="12.75">
      <c r="A237" s="14">
        <v>6818021804</v>
      </c>
      <c r="B237" s="17" t="s">
        <v>433</v>
      </c>
      <c r="C237" s="174">
        <v>365</v>
      </c>
      <c r="D237" s="18">
        <f t="shared" si="7"/>
        <v>365</v>
      </c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>
        <f>C237</f>
        <v>365</v>
      </c>
      <c r="AS237" s="8"/>
      <c r="AT237" s="8"/>
      <c r="AU237" s="8"/>
      <c r="AV237" s="8"/>
      <c r="AW237" s="62">
        <f t="shared" si="8"/>
        <v>0</v>
      </c>
    </row>
    <row r="238" spans="1:49" ht="12.75">
      <c r="A238" s="14">
        <v>7010000001</v>
      </c>
      <c r="B238" s="17" t="s">
        <v>434</v>
      </c>
      <c r="C238" s="18">
        <f>-'rdo por cliente'!C15</f>
        <v>-329960.4</v>
      </c>
      <c r="D238" s="18">
        <f t="shared" si="7"/>
        <v>0</v>
      </c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62">
        <f t="shared" si="8"/>
        <v>0</v>
      </c>
    </row>
    <row r="239" spans="1:49" ht="12.75">
      <c r="A239" s="14">
        <v>7010000002</v>
      </c>
      <c r="B239" s="17" t="s">
        <v>435</v>
      </c>
      <c r="C239" s="18">
        <f>-'rdo por cliente'!C16</f>
        <v>-220183.68000000002</v>
      </c>
      <c r="D239" s="18">
        <f t="shared" si="7"/>
        <v>0</v>
      </c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62">
        <f t="shared" si="8"/>
        <v>0</v>
      </c>
    </row>
    <row r="240" spans="1:49" ht="12.75">
      <c r="A240" s="14">
        <v>7010000003</v>
      </c>
      <c r="B240" s="17" t="s">
        <v>436</v>
      </c>
      <c r="C240" s="18">
        <f>-'rdo por cliente'!C17</f>
        <v>-68215.44</v>
      </c>
      <c r="D240" s="18">
        <f t="shared" si="7"/>
        <v>0</v>
      </c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62">
        <f t="shared" si="8"/>
        <v>0</v>
      </c>
    </row>
    <row r="241" spans="1:49" ht="12.75">
      <c r="A241" s="14">
        <v>7010000004</v>
      </c>
      <c r="B241" s="17" t="s">
        <v>437</v>
      </c>
      <c r="C241" s="18">
        <f>-'rdo por cliente'!C18</f>
        <v>-48443.76</v>
      </c>
      <c r="D241" s="18">
        <f t="shared" si="7"/>
        <v>0</v>
      </c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62">
        <f t="shared" si="8"/>
        <v>0</v>
      </c>
    </row>
    <row r="242" spans="1:49" ht="12.75">
      <c r="A242" s="14">
        <v>7050000001</v>
      </c>
      <c r="B242" s="16" t="s">
        <v>438</v>
      </c>
      <c r="C242" s="18">
        <v>-6800</v>
      </c>
      <c r="D242" s="18">
        <f t="shared" si="7"/>
        <v>0</v>
      </c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62">
        <f t="shared" si="8"/>
        <v>0</v>
      </c>
    </row>
    <row r="243" spans="1:49" ht="12.75">
      <c r="A243" s="14">
        <v>7100000001</v>
      </c>
      <c r="B243" s="17" t="s">
        <v>439</v>
      </c>
      <c r="C243" s="174">
        <v>0</v>
      </c>
      <c r="D243" s="18">
        <f t="shared" si="7"/>
        <v>0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62">
        <f t="shared" si="8"/>
        <v>0</v>
      </c>
    </row>
    <row r="244" spans="1:49" ht="12.75">
      <c r="A244" s="14">
        <v>7100000002</v>
      </c>
      <c r="B244" s="17" t="s">
        <v>440</v>
      </c>
      <c r="C244" s="174">
        <v>0</v>
      </c>
      <c r="D244" s="18">
        <f t="shared" si="7"/>
        <v>0</v>
      </c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62">
        <f t="shared" si="8"/>
        <v>0</v>
      </c>
    </row>
    <row r="245" spans="1:49" ht="12.75">
      <c r="A245" s="14">
        <v>7100000003</v>
      </c>
      <c r="B245" s="17" t="s">
        <v>441</v>
      </c>
      <c r="C245" s="174">
        <v>0</v>
      </c>
      <c r="D245" s="18">
        <f t="shared" si="7"/>
        <v>0</v>
      </c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62">
        <f t="shared" si="8"/>
        <v>0</v>
      </c>
    </row>
    <row r="246" spans="1:49" ht="12.75">
      <c r="A246" s="14">
        <v>7100000004</v>
      </c>
      <c r="B246" s="17" t="s">
        <v>442</v>
      </c>
      <c r="C246" s="174">
        <v>0</v>
      </c>
      <c r="D246" s="18">
        <f t="shared" si="7"/>
        <v>0</v>
      </c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62">
        <f t="shared" si="8"/>
        <v>0</v>
      </c>
    </row>
    <row r="247" spans="1:49" ht="12.75">
      <c r="A247" s="14">
        <v>7120000001</v>
      </c>
      <c r="B247" s="17" t="s">
        <v>443</v>
      </c>
      <c r="C247" s="174">
        <f>+'prod term'!$D$10</f>
        <v>-22116.431511791146</v>
      </c>
      <c r="D247" s="18">
        <f t="shared" si="7"/>
        <v>0</v>
      </c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62">
        <f t="shared" si="8"/>
        <v>0</v>
      </c>
    </row>
    <row r="248" spans="1:49" ht="12.75">
      <c r="A248" s="14">
        <v>7120000002</v>
      </c>
      <c r="B248" s="17" t="s">
        <v>444</v>
      </c>
      <c r="C248" s="174">
        <f>+'prod term'!$G$10</f>
        <v>-798.42241672505</v>
      </c>
      <c r="D248" s="18">
        <f t="shared" si="7"/>
        <v>0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62">
        <f t="shared" si="8"/>
        <v>0</v>
      </c>
    </row>
    <row r="249" spans="1:49" ht="12.75">
      <c r="A249" s="14">
        <v>7120000003</v>
      </c>
      <c r="B249" s="17" t="s">
        <v>445</v>
      </c>
      <c r="C249" s="174">
        <f>+'prod term'!$J$10</f>
        <v>-3489.9433672724645</v>
      </c>
      <c r="D249" s="18">
        <f t="shared" si="7"/>
        <v>0</v>
      </c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62">
        <f t="shared" si="8"/>
        <v>0</v>
      </c>
    </row>
    <row r="250" spans="1:49" ht="12.75">
      <c r="A250" s="14">
        <v>7120000004</v>
      </c>
      <c r="B250" s="17" t="s">
        <v>446</v>
      </c>
      <c r="C250" s="174">
        <f>+'prod term'!$M$10</f>
        <v>129.3300680044406</v>
      </c>
      <c r="D250" s="18">
        <f t="shared" si="7"/>
        <v>0</v>
      </c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62">
        <f t="shared" si="8"/>
        <v>0</v>
      </c>
    </row>
    <row r="251" spans="1:49" ht="14.25" customHeight="1">
      <c r="A251" s="14">
        <v>7130000001</v>
      </c>
      <c r="B251" s="17" t="s">
        <v>447</v>
      </c>
      <c r="C251" s="18">
        <f>-M256-N256</f>
        <v>-1589.0849169181542</v>
      </c>
      <c r="D251" s="18">
        <f t="shared" si="7"/>
        <v>0</v>
      </c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62">
        <f t="shared" si="8"/>
        <v>0</v>
      </c>
    </row>
    <row r="252" spans="1:49" ht="12.75">
      <c r="A252" s="14">
        <v>7603000001</v>
      </c>
      <c r="B252" s="14" t="s">
        <v>448</v>
      </c>
      <c r="C252" s="174">
        <v>-14600</v>
      </c>
      <c r="D252" s="18">
        <f t="shared" si="7"/>
        <v>0</v>
      </c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62">
        <f t="shared" si="8"/>
        <v>0</v>
      </c>
    </row>
    <row r="253" spans="1:49" ht="13.5" thickBot="1">
      <c r="A253" s="14">
        <v>7690000001</v>
      </c>
      <c r="B253" s="14" t="s">
        <v>449</v>
      </c>
      <c r="C253" s="174">
        <v>-6200</v>
      </c>
      <c r="D253" s="41">
        <f t="shared" si="7"/>
        <v>0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62">
        <f t="shared" si="8"/>
        <v>0</v>
      </c>
    </row>
    <row r="254" spans="2:48" ht="12.75">
      <c r="B254" s="62"/>
      <c r="D254" s="6" t="s">
        <v>220</v>
      </c>
      <c r="E254" s="42">
        <f>SUM(E136:E253)</f>
        <v>1522.5412</v>
      </c>
      <c r="F254" s="43">
        <f aca="true" t="shared" si="9" ref="F254:AV254">SUM(F136:F253)</f>
        <v>724.87</v>
      </c>
      <c r="G254" s="43">
        <f t="shared" si="9"/>
        <v>0</v>
      </c>
      <c r="H254" s="43">
        <f t="shared" si="9"/>
        <v>597.92</v>
      </c>
      <c r="I254" s="43">
        <f t="shared" si="9"/>
        <v>392.07</v>
      </c>
      <c r="J254" s="43">
        <f t="shared" si="9"/>
        <v>523.15</v>
      </c>
      <c r="K254" s="43">
        <f t="shared" si="9"/>
        <v>524.48</v>
      </c>
      <c r="L254" s="43">
        <f t="shared" si="9"/>
        <v>1174.4099999999999</v>
      </c>
      <c r="M254" s="43">
        <f t="shared" si="9"/>
        <v>556.73</v>
      </c>
      <c r="N254" s="43">
        <f t="shared" si="9"/>
        <v>548.5</v>
      </c>
      <c r="O254" s="43">
        <f t="shared" si="9"/>
        <v>737.91</v>
      </c>
      <c r="P254" s="43">
        <f t="shared" si="9"/>
        <v>256.24</v>
      </c>
      <c r="Q254" s="43">
        <f t="shared" si="9"/>
        <v>2787.004</v>
      </c>
      <c r="R254" s="43">
        <f t="shared" si="9"/>
        <v>379.64</v>
      </c>
      <c r="S254" s="43">
        <f t="shared" si="9"/>
        <v>1099.29</v>
      </c>
      <c r="T254" s="43">
        <f t="shared" si="9"/>
        <v>4067.846507419303</v>
      </c>
      <c r="U254" s="43">
        <f t="shared" si="9"/>
        <v>491.47</v>
      </c>
      <c r="V254" s="43">
        <f t="shared" si="9"/>
        <v>2372.7</v>
      </c>
      <c r="W254" s="43">
        <f t="shared" si="9"/>
        <v>2248.11</v>
      </c>
      <c r="X254" s="43">
        <f t="shared" si="9"/>
        <v>1735.76</v>
      </c>
      <c r="Y254" s="43">
        <f t="shared" si="9"/>
        <v>413.53999999999996</v>
      </c>
      <c r="Z254" s="43">
        <f t="shared" si="9"/>
        <v>8874.08</v>
      </c>
      <c r="AA254" s="43">
        <f t="shared" si="9"/>
        <v>441.73</v>
      </c>
      <c r="AB254" s="43">
        <f t="shared" si="9"/>
        <v>1805.65</v>
      </c>
      <c r="AC254" s="43">
        <f t="shared" si="9"/>
        <v>518.31</v>
      </c>
      <c r="AD254" s="43">
        <f t="shared" si="9"/>
        <v>360.35</v>
      </c>
      <c r="AE254" s="43">
        <f t="shared" si="9"/>
        <v>9043.07</v>
      </c>
      <c r="AF254" s="43">
        <f t="shared" si="9"/>
        <v>605.17</v>
      </c>
      <c r="AG254" s="43">
        <f t="shared" si="9"/>
        <v>3688.8088</v>
      </c>
      <c r="AH254" s="43">
        <f t="shared" si="9"/>
        <v>748.836</v>
      </c>
      <c r="AI254" s="43">
        <f t="shared" si="9"/>
        <v>8150.704</v>
      </c>
      <c r="AJ254" s="43">
        <f t="shared" si="9"/>
        <v>9416.256</v>
      </c>
      <c r="AK254" s="43">
        <f t="shared" si="9"/>
        <v>13360.1</v>
      </c>
      <c r="AL254" s="43">
        <f t="shared" si="9"/>
        <v>1950.844</v>
      </c>
      <c r="AM254" s="43">
        <f t="shared" si="9"/>
        <v>1950.844</v>
      </c>
      <c r="AN254" s="43">
        <f t="shared" si="9"/>
        <v>3118.344</v>
      </c>
      <c r="AO254" s="43">
        <f t="shared" si="9"/>
        <v>1950.844</v>
      </c>
      <c r="AP254" s="43">
        <f t="shared" si="9"/>
        <v>374.5</v>
      </c>
      <c r="AQ254" s="43">
        <f t="shared" si="9"/>
        <v>1500</v>
      </c>
      <c r="AR254" s="43">
        <f t="shared" si="9"/>
        <v>13000.22</v>
      </c>
      <c r="AS254" s="43">
        <f t="shared" si="9"/>
        <v>19700</v>
      </c>
      <c r="AT254" s="43">
        <f t="shared" si="9"/>
        <v>15700.45</v>
      </c>
      <c r="AU254" s="43">
        <f t="shared" si="9"/>
        <v>86400</v>
      </c>
      <c r="AV254" s="44">
        <f t="shared" si="9"/>
        <v>200</v>
      </c>
    </row>
    <row r="255" spans="4:48" ht="13.5" thickBot="1">
      <c r="D255" s="6" t="s">
        <v>455</v>
      </c>
      <c r="E255" s="35">
        <f>'horas pers'!B$29</f>
        <v>194.93940983606558</v>
      </c>
      <c r="F255" s="35">
        <f>'horas pers'!C$29</f>
        <v>229.968691026827</v>
      </c>
      <c r="G255" s="35">
        <f>'horas pers'!D$29</f>
        <v>0</v>
      </c>
      <c r="H255" s="35">
        <f>'horas pers'!E$29</f>
        <v>0</v>
      </c>
      <c r="I255" s="35">
        <f>'horas pers'!F$29</f>
        <v>226.93314477335798</v>
      </c>
      <c r="J255" s="35">
        <f>'horas pers'!G$29</f>
        <v>79.50629787234041</v>
      </c>
      <c r="K255" s="35">
        <f>'horas pers'!H$29</f>
        <v>232.10624167437558</v>
      </c>
      <c r="L255" s="35">
        <f>'horas pers'!I$29</f>
        <v>0</v>
      </c>
      <c r="M255" s="35">
        <f>'horas pers'!J$29</f>
        <v>160.80858695652174</v>
      </c>
      <c r="N255" s="35">
        <f>'horas pers'!K$29</f>
        <v>323.04632996163235</v>
      </c>
      <c r="O255" s="35">
        <f>'horas pers'!L$29</f>
        <v>170.37063829787232</v>
      </c>
      <c r="P255" s="35">
        <f>'horas pers'!M$29</f>
        <v>98.95913043478261</v>
      </c>
      <c r="Q255" s="35">
        <f>'horas pers'!N$29</f>
        <v>0</v>
      </c>
      <c r="R255" s="35">
        <f>'horas pers'!O$29</f>
        <v>309.47498889916744</v>
      </c>
      <c r="S255" s="35">
        <f>'horas pers'!P$29</f>
        <v>0</v>
      </c>
      <c r="T255" s="35">
        <f>'horas pers'!Q$29</f>
        <v>48.734852459016395</v>
      </c>
      <c r="U255" s="35">
        <f>'horas pers'!R$29</f>
        <v>0</v>
      </c>
      <c r="V255" s="35">
        <f>'horas pers'!S$29</f>
        <v>0</v>
      </c>
      <c r="W255" s="35">
        <f>'horas pers'!T$29</f>
        <v>62.46923404255318</v>
      </c>
      <c r="X255" s="35">
        <f>'horas pers'!U$29</f>
        <v>45.43217021276595</v>
      </c>
      <c r="Y255" s="35">
        <f>'horas pers'!V$29</f>
        <v>68.03440217391304</v>
      </c>
      <c r="Z255" s="35">
        <f>'horas pers'!W$29</f>
        <v>0</v>
      </c>
      <c r="AA255" s="35">
        <f>'horas pers'!X$29</f>
        <v>124.93846808510636</v>
      </c>
      <c r="AB255" s="35">
        <f>'horas pers'!Y$29</f>
        <v>0</v>
      </c>
      <c r="AC255" s="35">
        <f>'horas pers'!Z$29</f>
        <v>226.93314477335798</v>
      </c>
      <c r="AD255" s="35">
        <f>'horas pers'!AA$29</f>
        <v>0</v>
      </c>
      <c r="AE255" s="35">
        <f>'horas pers'!AB$29</f>
        <v>98.95913043478261</v>
      </c>
      <c r="AF255" s="35">
        <f>'horas pers'!AC$29</f>
        <v>85.18531914893616</v>
      </c>
      <c r="AG255" s="35">
        <f>'horas pers'!AD$29</f>
        <v>0</v>
      </c>
      <c r="AH255" s="35">
        <f>'horas pers'!AE$29</f>
        <v>0</v>
      </c>
      <c r="AI255" s="35">
        <f>'horas pers'!AF$29</f>
        <v>0</v>
      </c>
      <c r="AJ255" s="35">
        <f>-SUM(E255:AI255)</f>
        <v>-2786.8001810633746</v>
      </c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</row>
    <row r="256" spans="2:48" ht="17.25" customHeight="1" thickBot="1">
      <c r="B256" s="265">
        <f>SUM(D136:D253)</f>
        <v>226013.29250741928</v>
      </c>
      <c r="C256" s="299" t="str">
        <f>IF(ABS(SUM(D136:D253)-SUM(E254:AV254))&lt;0.00001,":)",":(")</f>
        <v>:)</v>
      </c>
      <c r="D256" s="178" t="s">
        <v>456</v>
      </c>
      <c r="E256" s="39">
        <f>+E254+E255</f>
        <v>1717.4806098360655</v>
      </c>
      <c r="F256" s="39">
        <f aca="true" t="shared" si="10" ref="F256:AV256">+F254+F255</f>
        <v>954.8386910268271</v>
      </c>
      <c r="G256" s="39">
        <f t="shared" si="10"/>
        <v>0</v>
      </c>
      <c r="H256" s="39">
        <f t="shared" si="10"/>
        <v>597.92</v>
      </c>
      <c r="I256" s="39">
        <f t="shared" si="10"/>
        <v>619.0031447733579</v>
      </c>
      <c r="J256" s="39">
        <f t="shared" si="10"/>
        <v>602.6562978723404</v>
      </c>
      <c r="K256" s="39">
        <f t="shared" si="10"/>
        <v>756.5862416743756</v>
      </c>
      <c r="L256" s="39">
        <f t="shared" si="10"/>
        <v>1174.4099999999999</v>
      </c>
      <c r="M256" s="39">
        <f t="shared" si="10"/>
        <v>717.5385869565217</v>
      </c>
      <c r="N256" s="39">
        <f t="shared" si="10"/>
        <v>871.5463299616324</v>
      </c>
      <c r="O256" s="39">
        <f t="shared" si="10"/>
        <v>908.2806382978723</v>
      </c>
      <c r="P256" s="39">
        <f t="shared" si="10"/>
        <v>355.1991304347826</v>
      </c>
      <c r="Q256" s="39">
        <f t="shared" si="10"/>
        <v>2787.004</v>
      </c>
      <c r="R256" s="39">
        <f t="shared" si="10"/>
        <v>689.1149888991674</v>
      </c>
      <c r="S256" s="39">
        <f t="shared" si="10"/>
        <v>1099.29</v>
      </c>
      <c r="T256" s="39">
        <f t="shared" si="10"/>
        <v>4116.58135987832</v>
      </c>
      <c r="U256" s="39">
        <f t="shared" si="10"/>
        <v>491.47</v>
      </c>
      <c r="V256" s="39">
        <f t="shared" si="10"/>
        <v>2372.7</v>
      </c>
      <c r="W256" s="39">
        <f t="shared" si="10"/>
        <v>2310.5792340425533</v>
      </c>
      <c r="X256" s="39">
        <f t="shared" si="10"/>
        <v>1781.1921702127659</v>
      </c>
      <c r="Y256" s="39">
        <f t="shared" si="10"/>
        <v>481.574402173913</v>
      </c>
      <c r="Z256" s="39">
        <f t="shared" si="10"/>
        <v>8874.08</v>
      </c>
      <c r="AA256" s="39">
        <f t="shared" si="10"/>
        <v>566.6684680851064</v>
      </c>
      <c r="AB256" s="39">
        <f t="shared" si="10"/>
        <v>1805.65</v>
      </c>
      <c r="AC256" s="39">
        <f t="shared" si="10"/>
        <v>745.2431447733579</v>
      </c>
      <c r="AD256" s="39">
        <f t="shared" si="10"/>
        <v>360.35</v>
      </c>
      <c r="AE256" s="39">
        <f t="shared" si="10"/>
        <v>9142.029130434783</v>
      </c>
      <c r="AF256" s="39">
        <f t="shared" si="10"/>
        <v>690.3553191489361</v>
      </c>
      <c r="AG256" s="39">
        <f t="shared" si="10"/>
        <v>3688.8088</v>
      </c>
      <c r="AH256" s="39">
        <f t="shared" si="10"/>
        <v>748.836</v>
      </c>
      <c r="AI256" s="39">
        <f t="shared" si="10"/>
        <v>8150.704</v>
      </c>
      <c r="AJ256" s="39">
        <f t="shared" si="10"/>
        <v>6629.455818936625</v>
      </c>
      <c r="AK256" s="39">
        <f t="shared" si="10"/>
        <v>13360.1</v>
      </c>
      <c r="AL256" s="39">
        <f t="shared" si="10"/>
        <v>1950.844</v>
      </c>
      <c r="AM256" s="39">
        <f t="shared" si="10"/>
        <v>1950.844</v>
      </c>
      <c r="AN256" s="39">
        <f t="shared" si="10"/>
        <v>3118.344</v>
      </c>
      <c r="AO256" s="39">
        <f t="shared" si="10"/>
        <v>1950.844</v>
      </c>
      <c r="AP256" s="39">
        <f t="shared" si="10"/>
        <v>374.5</v>
      </c>
      <c r="AQ256" s="39">
        <f t="shared" si="10"/>
        <v>1500</v>
      </c>
      <c r="AR256" s="39">
        <f t="shared" si="10"/>
        <v>13000.22</v>
      </c>
      <c r="AS256" s="39">
        <f t="shared" si="10"/>
        <v>19700</v>
      </c>
      <c r="AT256" s="39">
        <f t="shared" si="10"/>
        <v>15700.45</v>
      </c>
      <c r="AU256" s="39">
        <f t="shared" si="10"/>
        <v>86400</v>
      </c>
      <c r="AV256" s="39">
        <f t="shared" si="10"/>
        <v>200</v>
      </c>
    </row>
    <row r="257" spans="2:48" ht="13.5" thickBot="1">
      <c r="B257" s="265">
        <f>SUM(E254:AV254)</f>
        <v>226013.2925074193</v>
      </c>
      <c r="C257" s="300"/>
      <c r="D257" s="302" t="s">
        <v>221</v>
      </c>
      <c r="E257" s="36">
        <v>26</v>
      </c>
      <c r="F257" s="37">
        <f>MP!$C$13</f>
        <v>1315400</v>
      </c>
      <c r="G257" s="37">
        <f>MP!$C$13</f>
        <v>1315400</v>
      </c>
      <c r="H257" s="37">
        <f>MP!$C$10</f>
        <v>1194220</v>
      </c>
      <c r="I257" s="37">
        <f>MP!$C$10</f>
        <v>1194220</v>
      </c>
      <c r="J257" s="37">
        <f>MP!$C$10</f>
        <v>1194220</v>
      </c>
      <c r="K257" s="37">
        <f>MP!$C$10</f>
        <v>1194220</v>
      </c>
      <c r="L257" s="37">
        <f>MP!$C$10</f>
        <v>1194220</v>
      </c>
      <c r="M257" s="38">
        <v>2574</v>
      </c>
      <c r="N257" s="38">
        <f>M257</f>
        <v>2574</v>
      </c>
      <c r="O257" s="53">
        <f>MP!$C$6</f>
        <v>348420</v>
      </c>
      <c r="P257" s="53">
        <f>O257</f>
        <v>348420</v>
      </c>
      <c r="Q257" s="28"/>
      <c r="R257" s="53">
        <f>P257</f>
        <v>348420</v>
      </c>
      <c r="S257" s="53">
        <f>R257</f>
        <v>348420</v>
      </c>
      <c r="T257" s="53">
        <f>S257</f>
        <v>348420</v>
      </c>
      <c r="U257" s="53">
        <f>T257</f>
        <v>348420</v>
      </c>
      <c r="V257" s="28"/>
      <c r="W257" s="28"/>
      <c r="X257" s="46">
        <f>U257</f>
        <v>348420</v>
      </c>
      <c r="Y257" s="53">
        <f>U257</f>
        <v>348420</v>
      </c>
      <c r="Z257" s="28"/>
      <c r="AA257" s="53">
        <f>Y257</f>
        <v>348420</v>
      </c>
      <c r="AB257" s="28"/>
      <c r="AC257" s="53">
        <f>AA257</f>
        <v>348420</v>
      </c>
      <c r="AD257" s="46">
        <f>AA257</f>
        <v>348420</v>
      </c>
      <c r="AE257" s="58">
        <f>AD257/6</f>
        <v>58070</v>
      </c>
      <c r="AF257" s="53">
        <f>AC257</f>
        <v>348420</v>
      </c>
      <c r="AG257" s="58">
        <f>+AF257/864</f>
        <v>403.2638888888889</v>
      </c>
      <c r="AH257" s="66">
        <f>'rdo por cliente'!C10</f>
        <v>144.8932239057239</v>
      </c>
      <c r="AI257" s="28"/>
      <c r="AJ257" s="28"/>
      <c r="AK257" s="28"/>
      <c r="AL257" s="58">
        <v>35</v>
      </c>
      <c r="AM257" s="36">
        <v>26</v>
      </c>
      <c r="AN257" s="28"/>
      <c r="AO257" s="28"/>
      <c r="AP257" s="28"/>
      <c r="AQ257" s="28"/>
      <c r="AR257" s="58">
        <v>123</v>
      </c>
      <c r="AS257" s="58">
        <v>45</v>
      </c>
      <c r="AT257" s="28"/>
      <c r="AU257" s="58">
        <v>260</v>
      </c>
      <c r="AV257" s="28"/>
    </row>
    <row r="258" spans="4:48" ht="12.75">
      <c r="D258" s="303"/>
      <c r="E258" s="31">
        <v>5</v>
      </c>
      <c r="F258" s="32">
        <f>MP!$C$29</f>
        <v>214020</v>
      </c>
      <c r="G258" s="32">
        <f>MP!$C$29</f>
        <v>214020</v>
      </c>
      <c r="H258" s="32">
        <f>MP!$C$26</f>
        <v>187831</v>
      </c>
      <c r="I258" s="32">
        <f>MP!$C$26</f>
        <v>187831</v>
      </c>
      <c r="J258" s="32">
        <f>MP!$C$26</f>
        <v>187831</v>
      </c>
      <c r="K258" s="32">
        <f>MP!$C$26</f>
        <v>187831</v>
      </c>
      <c r="L258" s="32">
        <f>MP!$C$26</f>
        <v>187831</v>
      </c>
      <c r="M258" s="8"/>
      <c r="N258" s="8"/>
      <c r="O258" s="54">
        <f>MP!$C$7*0.2</f>
        <v>123120</v>
      </c>
      <c r="P258" s="54">
        <f>O258</f>
        <v>123120</v>
      </c>
      <c r="Q258" s="8"/>
      <c r="R258" s="54">
        <f>P258</f>
        <v>123120</v>
      </c>
      <c r="S258" s="54">
        <f aca="true" t="shared" si="11" ref="S258:U260">R258</f>
        <v>123120</v>
      </c>
      <c r="T258" s="54">
        <f t="shared" si="11"/>
        <v>123120</v>
      </c>
      <c r="U258" s="54">
        <f t="shared" si="11"/>
        <v>123120</v>
      </c>
      <c r="V258" s="6"/>
      <c r="W258" s="6"/>
      <c r="X258" s="47">
        <f>U258*5</f>
        <v>615600</v>
      </c>
      <c r="Y258" s="54">
        <f>U258</f>
        <v>123120</v>
      </c>
      <c r="Z258" s="6"/>
      <c r="AA258" s="54">
        <f aca="true" t="shared" si="12" ref="AA258:AC260">Y258</f>
        <v>123120</v>
      </c>
      <c r="AB258" s="6"/>
      <c r="AC258" s="54">
        <f t="shared" si="12"/>
        <v>123120</v>
      </c>
      <c r="AD258" s="47">
        <f>AA258*5</f>
        <v>615600</v>
      </c>
      <c r="AE258" s="58">
        <f>+AD258/12</f>
        <v>51300</v>
      </c>
      <c r="AF258" s="54">
        <f>AC258</f>
        <v>123120</v>
      </c>
      <c r="AG258" s="1">
        <f>+AF258/880</f>
        <v>139.9090909090909</v>
      </c>
      <c r="AH258" s="7"/>
      <c r="AI258" s="6"/>
      <c r="AJ258" s="6"/>
      <c r="AK258" s="6"/>
      <c r="AL258" s="6"/>
      <c r="AM258" s="31">
        <v>5</v>
      </c>
      <c r="AN258" s="6"/>
      <c r="AO258" s="6"/>
      <c r="AP258" s="6"/>
      <c r="AQ258" s="6"/>
      <c r="AR258" s="6"/>
      <c r="AS258" s="6"/>
      <c r="AT258" s="6"/>
      <c r="AU258" s="6"/>
      <c r="AV258" s="6"/>
    </row>
    <row r="259" spans="4:48" ht="12.75">
      <c r="D259" s="303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55">
        <f>+MP!$C$22</f>
        <v>67620</v>
      </c>
      <c r="P259" s="55">
        <f>O259</f>
        <v>67620</v>
      </c>
      <c r="Q259" s="8"/>
      <c r="R259" s="55">
        <f>P259</f>
        <v>67620</v>
      </c>
      <c r="S259" s="55">
        <f t="shared" si="11"/>
        <v>67620</v>
      </c>
      <c r="T259" s="55">
        <f t="shared" si="11"/>
        <v>67620</v>
      </c>
      <c r="U259" s="55">
        <f t="shared" si="11"/>
        <v>67620</v>
      </c>
      <c r="V259" s="6"/>
      <c r="W259" s="6"/>
      <c r="X259" s="48">
        <f>U259</f>
        <v>67620</v>
      </c>
      <c r="Y259" s="55">
        <f>U259</f>
        <v>67620</v>
      </c>
      <c r="Z259" s="6"/>
      <c r="AA259" s="55">
        <f t="shared" si="12"/>
        <v>67620</v>
      </c>
      <c r="AB259" s="6"/>
      <c r="AC259" s="55">
        <f t="shared" si="12"/>
        <v>67620</v>
      </c>
      <c r="AD259" s="48">
        <f>AA259</f>
        <v>67620</v>
      </c>
      <c r="AE259" s="58">
        <f>+AD259/6</f>
        <v>11270</v>
      </c>
      <c r="AF259" s="55">
        <f>AC259</f>
        <v>67620</v>
      </c>
      <c r="AG259" s="58">
        <f>+AF259/864</f>
        <v>78.26388888888889</v>
      </c>
      <c r="AH259" s="7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</row>
    <row r="260" spans="4:48" ht="12.75">
      <c r="D260" s="303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56">
        <f>+MP!$C$23*0.2</f>
        <v>24276</v>
      </c>
      <c r="P260" s="56">
        <f>O260</f>
        <v>24276</v>
      </c>
      <c r="Q260" s="8"/>
      <c r="R260" s="56">
        <f>P260</f>
        <v>24276</v>
      </c>
      <c r="S260" s="56">
        <f t="shared" si="11"/>
        <v>24276</v>
      </c>
      <c r="T260" s="56">
        <f t="shared" si="11"/>
        <v>24276</v>
      </c>
      <c r="U260" s="56">
        <f t="shared" si="11"/>
        <v>24276</v>
      </c>
      <c r="V260" s="6"/>
      <c r="W260" s="6"/>
      <c r="X260" s="49">
        <f>U260*5</f>
        <v>121380</v>
      </c>
      <c r="Y260" s="56">
        <f>U260</f>
        <v>24276</v>
      </c>
      <c r="Z260" s="6"/>
      <c r="AA260" s="56">
        <f t="shared" si="12"/>
        <v>24276</v>
      </c>
      <c r="AB260" s="6"/>
      <c r="AC260" s="56">
        <f t="shared" si="12"/>
        <v>24276</v>
      </c>
      <c r="AD260" s="49">
        <f>AA260*5</f>
        <v>121380</v>
      </c>
      <c r="AE260" s="58">
        <f>+AD260/12</f>
        <v>10115</v>
      </c>
      <c r="AF260" s="56">
        <f>AC260</f>
        <v>24276</v>
      </c>
      <c r="AG260" s="1">
        <f>+AF260/880</f>
        <v>27.586363636363636</v>
      </c>
      <c r="AH260" s="7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</row>
    <row r="261" spans="4:48" ht="13.5" thickBot="1">
      <c r="D261" s="303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7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</row>
    <row r="262" spans="4:49" ht="13.5" thickBot="1">
      <c r="D262" s="304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10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150"/>
      <c r="AW262" s="60" t="s">
        <v>236</v>
      </c>
    </row>
    <row r="263" spans="3:49" ht="13.5" thickBot="1">
      <c r="C263" s="149" t="s">
        <v>222</v>
      </c>
      <c r="D263" s="152" t="s">
        <v>223</v>
      </c>
      <c r="E263" s="120">
        <f aca="true" t="shared" si="13" ref="E263:P263">E256/SUM(E257:E262)</f>
        <v>55.40260031729243</v>
      </c>
      <c r="F263" s="153">
        <f t="shared" si="13"/>
        <v>0.0006243142439793039</v>
      </c>
      <c r="G263" s="153">
        <f t="shared" si="13"/>
        <v>0</v>
      </c>
      <c r="H263" s="153">
        <f t="shared" si="13"/>
        <v>0.000432632370296031</v>
      </c>
      <c r="I263" s="153">
        <f t="shared" si="13"/>
        <v>0.0004478873390152447</v>
      </c>
      <c r="J263" s="153">
        <f t="shared" si="13"/>
        <v>0.00043605937687707646</v>
      </c>
      <c r="K263" s="153">
        <f t="shared" si="13"/>
        <v>0.0005474372810224627</v>
      </c>
      <c r="L263" s="153">
        <f t="shared" si="13"/>
        <v>0.0008497588005073618</v>
      </c>
      <c r="M263" s="154">
        <f t="shared" si="13"/>
        <v>0.2787640197966285</v>
      </c>
      <c r="N263" s="154">
        <f t="shared" si="13"/>
        <v>0.338596087786182</v>
      </c>
      <c r="O263" s="155">
        <f t="shared" si="13"/>
        <v>0.0016120387023510609</v>
      </c>
      <c r="P263" s="155">
        <f t="shared" si="13"/>
        <v>0.0006304161083686214</v>
      </c>
      <c r="Q263" s="120">
        <f>Q256/$C$269</f>
        <v>116.12516666666666</v>
      </c>
      <c r="R263" s="155">
        <f>R256/SUM(R257:R262)</f>
        <v>0.0012230581448454969</v>
      </c>
      <c r="S263" s="155">
        <f>S256/SUM(S257:S262)</f>
        <v>0.0019510467914723233</v>
      </c>
      <c r="T263" s="155">
        <f>T256/SUM(T257:T262)</f>
        <v>0.007306209329681312</v>
      </c>
      <c r="U263" s="155">
        <f>U256/SUM(U257:U262)</f>
        <v>0.0008722729822020602</v>
      </c>
      <c r="V263" s="120">
        <f>V256/$C$269</f>
        <v>98.8625</v>
      </c>
      <c r="W263" s="120">
        <f>W256/$C$269</f>
        <v>96.27413475177305</v>
      </c>
      <c r="X263" s="155">
        <f>X256/SUM(X257:X262)</f>
        <v>0.0015448059619197984</v>
      </c>
      <c r="Y263" s="155">
        <f>Y256/SUM(Y257:Y262)</f>
        <v>0.0008547100330364283</v>
      </c>
      <c r="Z263" s="120">
        <f>Z256/$C$269</f>
        <v>369.75333333333333</v>
      </c>
      <c r="AA263" s="155">
        <f>AA256/SUM(AA257:AA262)</f>
        <v>0.001005737063455488</v>
      </c>
      <c r="AB263" s="120">
        <f>AB256/$C$269</f>
        <v>75.23541666666667</v>
      </c>
      <c r="AC263" s="155">
        <f>AC256/SUM(AC257:AC262)</f>
        <v>0.0013226757693391227</v>
      </c>
      <c r="AD263" s="155">
        <f>AD256/SUM(AD257:AD262)</f>
        <v>0.0003125271027388944</v>
      </c>
      <c r="AE263" s="155">
        <f>AE256/SUM(AE257:AE262)</f>
        <v>0.0699172431680225</v>
      </c>
      <c r="AF263" s="155">
        <f>AF256/SUM(AF257:AF262)</f>
        <v>0.001225259513323494</v>
      </c>
      <c r="AG263" s="155">
        <f>AG256/SUM(AG257:AG262)</f>
        <v>5.683631365237271</v>
      </c>
      <c r="AH263" s="156">
        <f>+AH256/AH257</f>
        <v>5.168191995556929</v>
      </c>
      <c r="AI263" s="120">
        <f>AI256/$C$269</f>
        <v>339.61266666666666</v>
      </c>
      <c r="AJ263" s="157"/>
      <c r="AK263" s="157"/>
      <c r="AL263" s="157">
        <f>+AL256/AL257</f>
        <v>55.7384</v>
      </c>
      <c r="AM263" s="120">
        <f>AM256/SUM(AM257:AM262)</f>
        <v>62.93045161290323</v>
      </c>
      <c r="AN263" s="157"/>
      <c r="AO263" s="157"/>
      <c r="AP263" s="157"/>
      <c r="AQ263" s="157"/>
      <c r="AR263" s="157">
        <f>+AR256/AR257</f>
        <v>105.69284552845528</v>
      </c>
      <c r="AS263" s="157">
        <f>+AS256/AS257</f>
        <v>437.77777777777777</v>
      </c>
      <c r="AT263" s="157"/>
      <c r="AU263" s="157">
        <f>+AU256/AU257</f>
        <v>332.3076923076923</v>
      </c>
      <c r="AV263" s="158"/>
      <c r="AW263" s="61"/>
    </row>
    <row r="264" spans="3:49" ht="12.75">
      <c r="C264" s="23">
        <v>15</v>
      </c>
      <c r="D264" s="151" t="s">
        <v>102</v>
      </c>
      <c r="E264" s="28">
        <f>22*E$263</f>
        <v>1218.8572069804336</v>
      </c>
      <c r="F264" s="28">
        <f>F257/MP!$C$8*MP!$C$6*F$263</f>
        <v>606.8000647120366</v>
      </c>
      <c r="G264" s="28"/>
      <c r="H264" s="28">
        <f>H257/MP!$C$8*MP!$C$6*H$263</f>
        <v>381.75777290792166</v>
      </c>
      <c r="I264" s="28">
        <f>I257/MP!$C$8*MP!$C$6*I$263</f>
        <v>395.21886200775515</v>
      </c>
      <c r="J264" s="28">
        <f>J257/MP!$C$8*MP!$C$6*J$263</f>
        <v>384.78178703618835</v>
      </c>
      <c r="K264" s="28">
        <f>K257/MP!$C$8*MP!$C$6*K$263</f>
        <v>483.0624140928289</v>
      </c>
      <c r="L264" s="28">
        <f>L257/MP!$C$8*MP!$C$6*L$263</f>
        <v>749.8329978605705</v>
      </c>
      <c r="M264" s="28"/>
      <c r="N264" s="28"/>
      <c r="O264" s="28">
        <f>O$263*O257</f>
        <v>561.6665246731566</v>
      </c>
      <c r="P264" s="28">
        <f>P$263*P257</f>
        <v>219.64958047779507</v>
      </c>
      <c r="Q264" s="28">
        <f>Q$263*$C264</f>
        <v>1741.8774999999998</v>
      </c>
      <c r="R264" s="28">
        <f aca="true" t="shared" si="14" ref="R264:U267">R$263*R257</f>
        <v>426.137918827068</v>
      </c>
      <c r="S264" s="28">
        <f t="shared" si="14"/>
        <v>679.7837230847869</v>
      </c>
      <c r="T264" s="28">
        <f t="shared" si="14"/>
        <v>2545.629454647563</v>
      </c>
      <c r="U264" s="28">
        <f t="shared" si="14"/>
        <v>303.91735245884183</v>
      </c>
      <c r="V264" s="28">
        <f>V$263*$C264</f>
        <v>1482.9375</v>
      </c>
      <c r="W264" s="28">
        <f>W$263*$C264</f>
        <v>1444.1120212765957</v>
      </c>
      <c r="X264" s="28">
        <f aca="true" t="shared" si="15" ref="X264:Y267">X$263*X257</f>
        <v>538.2412932520962</v>
      </c>
      <c r="Y264" s="28">
        <f t="shared" si="15"/>
        <v>297.79806971055234</v>
      </c>
      <c r="Z264" s="28">
        <f>Z$263*$C264</f>
        <v>5546.3</v>
      </c>
      <c r="AA264" s="28">
        <f>AA$263*AA257</f>
        <v>350.41890764916116</v>
      </c>
      <c r="AB264" s="28">
        <f>AB$263*$C264</f>
        <v>1128.53125</v>
      </c>
      <c r="AC264" s="28">
        <f aca="true" t="shared" si="16" ref="AC264:AD267">AC$263*AC257</f>
        <v>460.84669155313713</v>
      </c>
      <c r="AD264" s="28">
        <f t="shared" si="16"/>
        <v>108.89069313628558</v>
      </c>
      <c r="AE264" s="28">
        <f aca="true" t="shared" si="17" ref="AE264:AG267">AE$263*AE257</f>
        <v>4060.094310767067</v>
      </c>
      <c r="AF264" s="28">
        <f t="shared" si="17"/>
        <v>426.90491963217175</v>
      </c>
      <c r="AG264" s="28">
        <f t="shared" si="17"/>
        <v>2292.003287356447</v>
      </c>
      <c r="AH264" s="70"/>
      <c r="AI264" s="28">
        <f>AI$263*$C264</f>
        <v>5094.19</v>
      </c>
      <c r="AJ264" s="33"/>
      <c r="AK264" s="33"/>
      <c r="AL264" s="33"/>
      <c r="AM264" s="28">
        <f>22*AM$263</f>
        <v>1384.469935483871</v>
      </c>
      <c r="AN264" s="33"/>
      <c r="AO264" s="33"/>
      <c r="AP264" s="33"/>
      <c r="AQ264" s="33"/>
      <c r="AR264" s="33"/>
      <c r="AS264" s="33"/>
      <c r="AT264" s="33"/>
      <c r="AU264" s="33"/>
      <c r="AV264" s="59"/>
      <c r="AW264" s="61">
        <f>SUM(E264:AV264)</f>
        <v>35314.712039584345</v>
      </c>
    </row>
    <row r="265" spans="3:49" ht="12.75">
      <c r="C265" s="23">
        <v>5</v>
      </c>
      <c r="D265" s="40" t="s">
        <v>103</v>
      </c>
      <c r="E265" s="8">
        <f>4*E$263</f>
        <v>221.61040126916973</v>
      </c>
      <c r="F265" s="8">
        <f>F257/MP!$C$8*MP!$C$7*0.2*F$263</f>
        <v>214.42289181833976</v>
      </c>
      <c r="G265" s="8"/>
      <c r="H265" s="8">
        <f>H257/MP!$C$8*MP!$C$7*0.2*H$263</f>
        <v>134.9004563470045</v>
      </c>
      <c r="I265" s="8">
        <f>I257/MP!$C$8*MP!$C$7*0.2*I$263</f>
        <v>139.6571559910304</v>
      </c>
      <c r="J265" s="8">
        <f>J257/MP!$C$8*MP!$C$7*0.2*J$263</f>
        <v>135.96904201795394</v>
      </c>
      <c r="K265" s="8">
        <f>K257/MP!$C$8*MP!$C$7*0.2*K$263</f>
        <v>170.69813564981658</v>
      </c>
      <c r="L265" s="8">
        <f>L257/MP!$C$8*MP!$C$7*0.2*L$263</f>
        <v>264.96595688133124</v>
      </c>
      <c r="M265" s="8"/>
      <c r="N265" s="8"/>
      <c r="O265" s="8">
        <f aca="true" t="shared" si="18" ref="O265:P267">O$263*O258</f>
        <v>198.47420503346262</v>
      </c>
      <c r="P265" s="8">
        <f t="shared" si="18"/>
        <v>77.61683126234468</v>
      </c>
      <c r="Q265" s="8">
        <f>Q$263*$C265</f>
        <v>580.6258333333333</v>
      </c>
      <c r="R265" s="8">
        <f t="shared" si="14"/>
        <v>150.5829187933776</v>
      </c>
      <c r="S265" s="8">
        <f t="shared" si="14"/>
        <v>240.21288096607245</v>
      </c>
      <c r="T265" s="8">
        <f t="shared" si="14"/>
        <v>899.5404926703632</v>
      </c>
      <c r="U265" s="8">
        <f t="shared" si="14"/>
        <v>107.39424956871765</v>
      </c>
      <c r="V265" s="8">
        <f aca="true" t="shared" si="19" ref="V265:W267">V$263*$C265</f>
        <v>494.3125</v>
      </c>
      <c r="W265" s="8">
        <f t="shared" si="19"/>
        <v>481.3706737588652</v>
      </c>
      <c r="X265" s="8">
        <f t="shared" si="15"/>
        <v>950.9825501578279</v>
      </c>
      <c r="Y265" s="8">
        <f t="shared" si="15"/>
        <v>105.23189926744504</v>
      </c>
      <c r="Z265" s="8">
        <f>Z$263*$C265</f>
        <v>1848.7666666666667</v>
      </c>
      <c r="AA265" s="8">
        <f>AA$263*AA258</f>
        <v>123.82634725263969</v>
      </c>
      <c r="AB265" s="8">
        <f>AB$263*$C265</f>
        <v>376.1770833333333</v>
      </c>
      <c r="AC265" s="8">
        <f t="shared" si="16"/>
        <v>162.84784072103278</v>
      </c>
      <c r="AD265" s="8">
        <f t="shared" si="16"/>
        <v>192.39168444606338</v>
      </c>
      <c r="AE265" s="8">
        <f t="shared" si="17"/>
        <v>3586.7545745195544</v>
      </c>
      <c r="AF265" s="8">
        <f t="shared" si="17"/>
        <v>150.85395128038857</v>
      </c>
      <c r="AG265" s="8">
        <f t="shared" si="17"/>
        <v>795.1916973727418</v>
      </c>
      <c r="AH265" s="7"/>
      <c r="AI265" s="8">
        <f>AI$263*$C265</f>
        <v>1698.0633333333333</v>
      </c>
      <c r="AJ265" s="6"/>
      <c r="AK265" s="6"/>
      <c r="AL265" s="6"/>
      <c r="AM265" s="8">
        <f>4*AM$263</f>
        <v>251.7218064516129</v>
      </c>
      <c r="AN265" s="6"/>
      <c r="AO265" s="6"/>
      <c r="AP265" s="6"/>
      <c r="AQ265" s="6"/>
      <c r="AR265" s="6"/>
      <c r="AS265" s="6"/>
      <c r="AT265" s="6"/>
      <c r="AU265" s="6"/>
      <c r="AV265" s="45"/>
      <c r="AW265" s="61">
        <f>SUM(E265:AV265)</f>
        <v>14755.164060163825</v>
      </c>
    </row>
    <row r="266" spans="3:49" ht="12.75">
      <c r="C266" s="23">
        <v>3</v>
      </c>
      <c r="D266" s="40" t="s">
        <v>104</v>
      </c>
      <c r="E266" s="8">
        <f>4*E$263</f>
        <v>221.61040126916973</v>
      </c>
      <c r="F266" s="8">
        <f>F258/MP!$C$24*MP!$C$22*F263</f>
        <v>98.31870774190378</v>
      </c>
      <c r="G266" s="8"/>
      <c r="H266" s="8">
        <f>H258/MP!$C$24*MP!$C$22*H263</f>
        <v>59.794995840753565</v>
      </c>
      <c r="I266" s="8">
        <f>I258/MP!$C$24*MP!$C$22*I263</f>
        <v>61.903415953867274</v>
      </c>
      <c r="J266" s="8">
        <f>J258/MP!$C$24*MP!$C$22*J263</f>
        <v>60.268649358911794</v>
      </c>
      <c r="K266" s="8">
        <f>K258/MP!$C$24*MP!$C$22*K263</f>
        <v>75.66241499546874</v>
      </c>
      <c r="L266" s="8">
        <f>L258/MP!$C$24*MP!$C$22*L263</f>
        <v>117.44688430783282</v>
      </c>
      <c r="M266" s="8"/>
      <c r="N266" s="8"/>
      <c r="O266" s="8">
        <f t="shared" si="18"/>
        <v>109.00605705297873</v>
      </c>
      <c r="P266" s="8">
        <f t="shared" si="18"/>
        <v>42.62873724788618</v>
      </c>
      <c r="Q266" s="8">
        <f>Q$263*$C266</f>
        <v>348.3755</v>
      </c>
      <c r="R266" s="8">
        <f t="shared" si="14"/>
        <v>82.7031917544525</v>
      </c>
      <c r="S266" s="8">
        <f t="shared" si="14"/>
        <v>131.9297840393585</v>
      </c>
      <c r="T266" s="8">
        <f t="shared" si="14"/>
        <v>494.0458748730503</v>
      </c>
      <c r="U266" s="8">
        <f t="shared" si="14"/>
        <v>58.98309905650331</v>
      </c>
      <c r="V266" s="8">
        <f t="shared" si="19"/>
        <v>296.5875</v>
      </c>
      <c r="W266" s="8">
        <f t="shared" si="19"/>
        <v>288.82240425531916</v>
      </c>
      <c r="X266" s="8">
        <f t="shared" si="15"/>
        <v>104.45977914501677</v>
      </c>
      <c r="Y266" s="8">
        <f t="shared" si="15"/>
        <v>57.79549243392328</v>
      </c>
      <c r="Z266" s="8">
        <f>Z$263*$C266</f>
        <v>1109.26</v>
      </c>
      <c r="AA266" s="8">
        <f>AA$263*AA259</f>
        <v>68.0079402308601</v>
      </c>
      <c r="AB266" s="8">
        <f>AB$263*$C266</f>
        <v>225.70625</v>
      </c>
      <c r="AC266" s="8">
        <f t="shared" si="16"/>
        <v>89.43933552271147</v>
      </c>
      <c r="AD266" s="8">
        <f t="shared" si="16"/>
        <v>21.133082687204038</v>
      </c>
      <c r="AE266" s="8">
        <f t="shared" si="17"/>
        <v>787.9673305036137</v>
      </c>
      <c r="AF266" s="8">
        <f t="shared" si="17"/>
        <v>82.85204829093466</v>
      </c>
      <c r="AG266" s="8">
        <f t="shared" si="17"/>
        <v>444.8230936543336</v>
      </c>
      <c r="AH266" s="7"/>
      <c r="AI266" s="8">
        <f>AI$263*$C266</f>
        <v>1018.838</v>
      </c>
      <c r="AJ266" s="6"/>
      <c r="AK266" s="6"/>
      <c r="AL266" s="6"/>
      <c r="AM266" s="8">
        <f>4*AM$263</f>
        <v>251.7218064516129</v>
      </c>
      <c r="AN266" s="6"/>
      <c r="AO266" s="6"/>
      <c r="AP266" s="6"/>
      <c r="AQ266" s="6"/>
      <c r="AR266" s="6"/>
      <c r="AS266" s="6"/>
      <c r="AT266" s="6"/>
      <c r="AU266" s="6"/>
      <c r="AV266" s="45"/>
      <c r="AW266" s="61">
        <f>SUM(E266:AV266)</f>
        <v>6810.091776667667</v>
      </c>
    </row>
    <row r="267" spans="3:49" ht="12.75">
      <c r="C267" s="23">
        <v>1</v>
      </c>
      <c r="D267" s="40" t="s">
        <v>105</v>
      </c>
      <c r="E267" s="8">
        <f>1*E$263</f>
        <v>55.40260031729243</v>
      </c>
      <c r="F267" s="8">
        <f>F258/MP!$C$24*MP!$C$23*0.2*F263</f>
        <v>35.29702675454683</v>
      </c>
      <c r="G267" s="8"/>
      <c r="H267" s="8">
        <f>H258/MP!$C$24*MP!$C$23*0.2*H263</f>
        <v>21.466774904320225</v>
      </c>
      <c r="I267" s="8">
        <f>I258/MP!$C$24*MP!$C$23*0.2*I263</f>
        <v>22.223710820705147</v>
      </c>
      <c r="J267" s="8">
        <f>J258/MP!$C$24*MP!$C$23*0.2*J263</f>
        <v>21.636819459286347</v>
      </c>
      <c r="K267" s="8">
        <f>K258/MP!$C$24*MP!$C$23*0.2*K263</f>
        <v>27.16327693626145</v>
      </c>
      <c r="L267" s="8">
        <f>L258/MP!$C$24*MP!$C$23*0.2*L263</f>
        <v>42.16416095026545</v>
      </c>
      <c r="M267" s="8"/>
      <c r="N267" s="8"/>
      <c r="O267" s="8">
        <f t="shared" si="18"/>
        <v>39.13385153827436</v>
      </c>
      <c r="P267" s="8">
        <f t="shared" si="18"/>
        <v>15.303981446756653</v>
      </c>
      <c r="Q267" s="8">
        <f>Q$263*$C267</f>
        <v>116.12516666666666</v>
      </c>
      <c r="R267" s="8">
        <f t="shared" si="14"/>
        <v>29.69095952426928</v>
      </c>
      <c r="S267" s="8">
        <f t="shared" si="14"/>
        <v>47.36361190978212</v>
      </c>
      <c r="T267" s="8">
        <f t="shared" si="14"/>
        <v>177.36553768734353</v>
      </c>
      <c r="U267" s="8">
        <f t="shared" si="14"/>
        <v>21.175298915937216</v>
      </c>
      <c r="V267" s="8">
        <f t="shared" si="19"/>
        <v>98.8625</v>
      </c>
      <c r="W267" s="8">
        <f t="shared" si="19"/>
        <v>96.27413475177305</v>
      </c>
      <c r="X267" s="8">
        <f t="shared" si="15"/>
        <v>187.50854765782512</v>
      </c>
      <c r="Y267" s="8">
        <f t="shared" si="15"/>
        <v>20.748940761992333</v>
      </c>
      <c r="Z267" s="8">
        <f>Z$263*$C267</f>
        <v>369.75333333333333</v>
      </c>
      <c r="AA267" s="8">
        <f>AA$263*AA260</f>
        <v>24.415272952445427</v>
      </c>
      <c r="AB267" s="8">
        <f>AB$263*$C267</f>
        <v>75.23541666666667</v>
      </c>
      <c r="AC267" s="8">
        <f t="shared" si="16"/>
        <v>32.10927697647654</v>
      </c>
      <c r="AD267" s="8">
        <f t="shared" si="16"/>
        <v>37.934539730447</v>
      </c>
      <c r="AE267" s="8">
        <f t="shared" si="17"/>
        <v>707.2129146445476</v>
      </c>
      <c r="AF267" s="8">
        <f t="shared" si="17"/>
        <v>29.74439994544114</v>
      </c>
      <c r="AG267" s="8">
        <f t="shared" si="17"/>
        <v>156.79072161647724</v>
      </c>
      <c r="AH267" s="7"/>
      <c r="AI267" s="8">
        <f>AI$263*$C267</f>
        <v>339.61266666666666</v>
      </c>
      <c r="AJ267" s="6"/>
      <c r="AK267" s="6"/>
      <c r="AL267" s="6"/>
      <c r="AM267" s="8">
        <f>1*AM$263</f>
        <v>62.93045161290323</v>
      </c>
      <c r="AN267" s="6"/>
      <c r="AO267" s="6"/>
      <c r="AP267" s="6"/>
      <c r="AQ267" s="6"/>
      <c r="AR267" s="6"/>
      <c r="AS267" s="6"/>
      <c r="AT267" s="6"/>
      <c r="AU267" s="6"/>
      <c r="AV267" s="45"/>
      <c r="AW267" s="61">
        <f>SUM(E267:AV267)</f>
        <v>2910.645895148703</v>
      </c>
    </row>
    <row r="268" spans="3:49" ht="12.75">
      <c r="C268" s="23"/>
      <c r="D268" s="40" t="s">
        <v>106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7"/>
      <c r="AI268" s="8"/>
      <c r="AJ268" s="8">
        <f>+AJ256</f>
        <v>6629.455818936625</v>
      </c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45"/>
      <c r="AW268" s="61">
        <f>SUM(E268:AV268)</f>
        <v>6629.455818936625</v>
      </c>
    </row>
    <row r="269" spans="3:49" ht="13.5" thickBot="1">
      <c r="C269" s="23">
        <f>SUM(C264:C268)</f>
        <v>24</v>
      </c>
      <c r="E269" s="27">
        <f>SUM(E264:E268)</f>
        <v>1717.4806098360652</v>
      </c>
      <c r="F269" s="27">
        <f>SUM(F264:F268)</f>
        <v>954.8386910268268</v>
      </c>
      <c r="G269" s="27">
        <f aca="true" t="shared" si="20" ref="G269:L269">SUM(G264:G268)</f>
        <v>0</v>
      </c>
      <c r="H269" s="27">
        <f t="shared" si="20"/>
        <v>597.92</v>
      </c>
      <c r="I269" s="27">
        <f t="shared" si="20"/>
        <v>619.0031447733579</v>
      </c>
      <c r="J269" s="27">
        <f t="shared" si="20"/>
        <v>602.6562978723405</v>
      </c>
      <c r="K269" s="27">
        <f t="shared" si="20"/>
        <v>756.5862416743756</v>
      </c>
      <c r="L269" s="27">
        <f t="shared" si="20"/>
        <v>1174.4099999999999</v>
      </c>
      <c r="M269" s="27">
        <f>SUM(M264:M268)</f>
        <v>0</v>
      </c>
      <c r="N269" s="27">
        <f>SUM(N264:N268)</f>
        <v>0</v>
      </c>
      <c r="O269" s="27">
        <f aca="true" t="shared" si="21" ref="O269:AF269">SUM(O264:O268)</f>
        <v>908.2806382978722</v>
      </c>
      <c r="P269" s="27">
        <f t="shared" si="21"/>
        <v>355.1991304347826</v>
      </c>
      <c r="Q269" s="27">
        <f t="shared" si="21"/>
        <v>2787.004</v>
      </c>
      <c r="R269" s="27">
        <f t="shared" si="21"/>
        <v>689.1149888991673</v>
      </c>
      <c r="S269" s="27">
        <f t="shared" si="21"/>
        <v>1099.29</v>
      </c>
      <c r="T269" s="27">
        <f t="shared" si="21"/>
        <v>4116.58135987832</v>
      </c>
      <c r="U269" s="27">
        <f t="shared" si="21"/>
        <v>491.47</v>
      </c>
      <c r="V269" s="27">
        <f t="shared" si="21"/>
        <v>2372.7000000000003</v>
      </c>
      <c r="W269" s="27">
        <f t="shared" si="21"/>
        <v>2310.5792340425533</v>
      </c>
      <c r="X269" s="27">
        <f t="shared" si="21"/>
        <v>1781.1921702127659</v>
      </c>
      <c r="Y269" s="27">
        <f t="shared" si="21"/>
        <v>481.57440217391303</v>
      </c>
      <c r="Z269" s="27">
        <f t="shared" si="21"/>
        <v>8874.08</v>
      </c>
      <c r="AA269" s="27">
        <f t="shared" si="21"/>
        <v>566.6684680851064</v>
      </c>
      <c r="AB269" s="27">
        <f t="shared" si="21"/>
        <v>1805.6499999999999</v>
      </c>
      <c r="AC269" s="27">
        <f t="shared" si="21"/>
        <v>745.2431447733578</v>
      </c>
      <c r="AD269" s="27">
        <f t="shared" si="21"/>
        <v>360.34999999999997</v>
      </c>
      <c r="AE269" s="27">
        <f t="shared" si="21"/>
        <v>9142.029130434783</v>
      </c>
      <c r="AF269" s="27">
        <f t="shared" si="21"/>
        <v>690.3553191489361</v>
      </c>
      <c r="AG269" s="27">
        <f>SUM(AG264:AG268)</f>
        <v>3688.8088</v>
      </c>
      <c r="AH269" s="108">
        <f>SUM(AH264:AH268)</f>
        <v>0</v>
      </c>
      <c r="AI269" s="27">
        <f>SUM(AI264:AI268)</f>
        <v>8150.704</v>
      </c>
      <c r="AJ269" s="27">
        <f>SUM(AJ264:AJ268)</f>
        <v>6629.455818936625</v>
      </c>
      <c r="AM269" s="27">
        <f>SUM(AM264:AM268)</f>
        <v>1950.844</v>
      </c>
      <c r="AW269" s="63">
        <f>SUM(AW264:AW268)</f>
        <v>66420.06959050117</v>
      </c>
    </row>
    <row r="270" spans="5:50" ht="28.5" customHeight="1" thickBot="1">
      <c r="E270" s="27">
        <f>+E256-E269</f>
        <v>0</v>
      </c>
      <c r="F270" s="27">
        <f aca="true" t="shared" si="22" ref="F270:AV270">+F256-F269</f>
        <v>0</v>
      </c>
      <c r="G270" s="27">
        <f t="shared" si="22"/>
        <v>0</v>
      </c>
      <c r="H270" s="27">
        <f t="shared" si="22"/>
        <v>0</v>
      </c>
      <c r="I270" s="27">
        <f t="shared" si="22"/>
        <v>0</v>
      </c>
      <c r="J270" s="27">
        <f t="shared" si="22"/>
        <v>0</v>
      </c>
      <c r="K270" s="27">
        <f t="shared" si="22"/>
        <v>0</v>
      </c>
      <c r="L270" s="27">
        <f t="shared" si="22"/>
        <v>0</v>
      </c>
      <c r="M270" s="27">
        <f>+M256-M269</f>
        <v>717.5385869565217</v>
      </c>
      <c r="N270" s="27">
        <f>+N256-N269</f>
        <v>871.5463299616324</v>
      </c>
      <c r="O270" s="27">
        <f t="shared" si="22"/>
        <v>0</v>
      </c>
      <c r="P270" s="27">
        <f t="shared" si="22"/>
        <v>0</v>
      </c>
      <c r="Q270" s="27">
        <f t="shared" si="22"/>
        <v>0</v>
      </c>
      <c r="R270" s="27">
        <f t="shared" si="22"/>
        <v>0</v>
      </c>
      <c r="S270" s="27">
        <f t="shared" si="22"/>
        <v>0</v>
      </c>
      <c r="T270" s="27">
        <f t="shared" si="22"/>
        <v>0</v>
      </c>
      <c r="U270" s="27">
        <f t="shared" si="22"/>
        <v>0</v>
      </c>
      <c r="V270" s="27">
        <f t="shared" si="22"/>
        <v>0</v>
      </c>
      <c r="W270" s="27">
        <f t="shared" si="22"/>
        <v>0</v>
      </c>
      <c r="X270" s="27">
        <f t="shared" si="22"/>
        <v>0</v>
      </c>
      <c r="Y270" s="27">
        <f t="shared" si="22"/>
        <v>0</v>
      </c>
      <c r="Z270" s="27">
        <f t="shared" si="22"/>
        <v>0</v>
      </c>
      <c r="AA270" s="27">
        <f t="shared" si="22"/>
        <v>0</v>
      </c>
      <c r="AB270" s="27">
        <f t="shared" si="22"/>
        <v>0</v>
      </c>
      <c r="AC270" s="27">
        <f t="shared" si="22"/>
        <v>0</v>
      </c>
      <c r="AD270" s="27">
        <f t="shared" si="22"/>
        <v>0</v>
      </c>
      <c r="AE270" s="27">
        <f t="shared" si="22"/>
        <v>0</v>
      </c>
      <c r="AF270" s="27">
        <f t="shared" si="22"/>
        <v>0</v>
      </c>
      <c r="AG270" s="27">
        <f t="shared" si="22"/>
        <v>0</v>
      </c>
      <c r="AH270" s="108">
        <f t="shared" si="22"/>
        <v>748.836</v>
      </c>
      <c r="AI270" s="27">
        <f t="shared" si="22"/>
        <v>0</v>
      </c>
      <c r="AJ270" s="27">
        <f t="shared" si="22"/>
        <v>0</v>
      </c>
      <c r="AK270" s="27">
        <f t="shared" si="22"/>
        <v>13360.1</v>
      </c>
      <c r="AL270" s="27">
        <f t="shared" si="22"/>
        <v>1950.844</v>
      </c>
      <c r="AM270" s="27">
        <f t="shared" si="22"/>
        <v>0</v>
      </c>
      <c r="AN270" s="27">
        <f t="shared" si="22"/>
        <v>3118.344</v>
      </c>
      <c r="AO270" s="27">
        <f t="shared" si="22"/>
        <v>1950.844</v>
      </c>
      <c r="AP270" s="27">
        <f t="shared" si="22"/>
        <v>374.5</v>
      </c>
      <c r="AQ270" s="27">
        <f t="shared" si="22"/>
        <v>1500</v>
      </c>
      <c r="AR270" s="27">
        <f t="shared" si="22"/>
        <v>13000.22</v>
      </c>
      <c r="AS270" s="27">
        <f t="shared" si="22"/>
        <v>19700</v>
      </c>
      <c r="AT270" s="27">
        <f t="shared" si="22"/>
        <v>15700.45</v>
      </c>
      <c r="AU270" s="27">
        <f t="shared" si="22"/>
        <v>86400</v>
      </c>
      <c r="AV270" s="27">
        <f t="shared" si="22"/>
        <v>200</v>
      </c>
      <c r="AW270" s="270">
        <f>SUM(E270:AV270)</f>
        <v>159593.22291691817</v>
      </c>
      <c r="AX270" s="64" t="s">
        <v>237</v>
      </c>
    </row>
    <row r="271" ht="12.75">
      <c r="AW271" s="265">
        <f>SUM(AW269:AW270)</f>
        <v>226013.29250741933</v>
      </c>
    </row>
    <row r="272" ht="12.75"/>
    <row r="273" spans="4:50" s="263" customFormat="1" ht="12.75">
      <c r="D273" s="261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1"/>
      <c r="V273" s="261"/>
      <c r="AH273" s="264">
        <f>+AH270</f>
        <v>748.836</v>
      </c>
      <c r="AL273" s="264">
        <f>+AL270</f>
        <v>1950.844</v>
      </c>
      <c r="AR273" s="264">
        <f>+AR270</f>
        <v>13000.22</v>
      </c>
      <c r="AS273" s="264">
        <f>+AS270</f>
        <v>19700</v>
      </c>
      <c r="AU273" s="264">
        <f>+AU270</f>
        <v>86400</v>
      </c>
      <c r="AW273" s="264">
        <f>SUM(E273:AV273)</f>
        <v>121799.9</v>
      </c>
      <c r="AX273" s="263" t="s">
        <v>251</v>
      </c>
    </row>
    <row r="274" spans="4:50" s="259" customFormat="1" ht="12.75">
      <c r="D274" s="257"/>
      <c r="E274" s="258"/>
      <c r="F274" s="258"/>
      <c r="G274" s="258"/>
      <c r="H274" s="258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258"/>
      <c r="T274" s="258"/>
      <c r="U274" s="257"/>
      <c r="V274" s="257"/>
      <c r="AK274" s="260">
        <f>+AK270</f>
        <v>13360.1</v>
      </c>
      <c r="AN274" s="260">
        <f>+AN270</f>
        <v>3118.344</v>
      </c>
      <c r="AO274" s="260">
        <f>+AO270</f>
        <v>1950.844</v>
      </c>
      <c r="AP274" s="260">
        <f>+AP270</f>
        <v>374.5</v>
      </c>
      <c r="AQ274" s="260">
        <f>+AQ270</f>
        <v>1500</v>
      </c>
      <c r="AT274" s="260">
        <f>+AT270</f>
        <v>15700.45</v>
      </c>
      <c r="AV274" s="260">
        <f>+AV270</f>
        <v>200</v>
      </c>
      <c r="AW274" s="260">
        <f>SUM(E274:AV274)</f>
        <v>36204.238</v>
      </c>
      <c r="AX274" s="259" t="s">
        <v>250</v>
      </c>
    </row>
    <row r="275" spans="4:50" s="268" customFormat="1" ht="12.75">
      <c r="D275" s="266"/>
      <c r="E275" s="267"/>
      <c r="F275" s="267"/>
      <c r="G275" s="267"/>
      <c r="H275" s="267"/>
      <c r="I275" s="267"/>
      <c r="J275" s="267"/>
      <c r="K275" s="267"/>
      <c r="L275" s="267"/>
      <c r="M275" s="267">
        <f>+M270</f>
        <v>717.5385869565217</v>
      </c>
      <c r="N275" s="267">
        <f>+N270</f>
        <v>871.5463299616324</v>
      </c>
      <c r="O275" s="267"/>
      <c r="P275" s="267"/>
      <c r="Q275" s="267"/>
      <c r="R275" s="267"/>
      <c r="S275" s="267"/>
      <c r="T275" s="267"/>
      <c r="U275" s="266"/>
      <c r="V275" s="266"/>
      <c r="AW275" s="269">
        <f>SUM(E275:AV275)</f>
        <v>1589.0849169181542</v>
      </c>
      <c r="AX275" s="268" t="s">
        <v>457</v>
      </c>
    </row>
    <row r="276" ht="12.75">
      <c r="AW276" s="271">
        <f>SUM(AW273:AW275)</f>
        <v>159593.22291691814</v>
      </c>
    </row>
    <row r="321" ht="12.75"/>
    <row r="322" ht="12.75"/>
    <row r="323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</sheetData>
  <sheetProtection/>
  <mergeCells count="16">
    <mergeCell ref="H2:K2"/>
    <mergeCell ref="L2:R2"/>
    <mergeCell ref="C256:C257"/>
    <mergeCell ref="D257:D262"/>
    <mergeCell ref="AD2:AF2"/>
    <mergeCell ref="E1:AJ1"/>
    <mergeCell ref="A3:B3"/>
    <mergeCell ref="A1:B2"/>
    <mergeCell ref="C1:C2"/>
    <mergeCell ref="AR1:AV2"/>
    <mergeCell ref="S2:V2"/>
    <mergeCell ref="W2:Y2"/>
    <mergeCell ref="Z2:AA2"/>
    <mergeCell ref="AB2:AC2"/>
    <mergeCell ref="AK1:AQ2"/>
    <mergeCell ref="E2:G2"/>
  </mergeCells>
  <conditionalFormatting sqref="C256 C1 C3:C4">
    <cfRule type="cellIs" priority="1" dxfId="1" operator="equal" stopIfTrue="1">
      <formula>":)"</formula>
    </cfRule>
    <cfRule type="cellIs" priority="2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="160" zoomScaleNormal="160" zoomScalePageLayoutView="0" workbookViewId="0" topLeftCell="A1">
      <selection activeCell="F10" sqref="F10"/>
    </sheetView>
  </sheetViews>
  <sheetFormatPr defaultColWidth="11.421875" defaultRowHeight="12.75"/>
  <cols>
    <col min="1" max="1" width="3.57421875" style="0" customWidth="1"/>
    <col min="2" max="2" width="5.421875" style="0" customWidth="1"/>
    <col min="3" max="3" width="12.28125" style="0" customWidth="1"/>
    <col min="4" max="4" width="4.7109375" style="0" customWidth="1"/>
    <col min="5" max="5" width="12.140625" style="0" bestFit="1" customWidth="1"/>
  </cols>
  <sheetData>
    <row r="1" spans="1:5" ht="13.5" thickBot="1">
      <c r="A1" s="313" t="s">
        <v>337</v>
      </c>
      <c r="B1" s="313"/>
      <c r="C1" s="313"/>
      <c r="D1" s="313"/>
      <c r="E1" s="313"/>
    </row>
    <row r="2" spans="1:5" ht="12.75">
      <c r="A2" s="308" t="s">
        <v>10</v>
      </c>
      <c r="B2" s="309"/>
      <c r="C2" s="310"/>
      <c r="D2" s="311" t="s">
        <v>11</v>
      </c>
      <c r="E2" s="312"/>
    </row>
    <row r="3" spans="1:5" ht="12.75">
      <c r="A3" s="314" t="s">
        <v>12</v>
      </c>
      <c r="B3" s="315"/>
      <c r="C3" s="186">
        <f>SUM('saldos-ABC'!C9:C96)</f>
        <v>1539117.4127905003</v>
      </c>
      <c r="D3" s="185" t="s">
        <v>13</v>
      </c>
      <c r="E3" s="186">
        <f>-SUM('saldos-ABC'!C6:C7)-SUM('saldos-ABC'!C136:C253)</f>
        <v>945773.1259122965</v>
      </c>
    </row>
    <row r="4" spans="1:5" ht="12.75">
      <c r="A4" s="305" t="s">
        <v>14</v>
      </c>
      <c r="B4" s="6" t="s">
        <v>199</v>
      </c>
      <c r="C4" s="190">
        <f>SUM('saldos-ABC'!C97:C114)</f>
        <v>154261.1859789633</v>
      </c>
      <c r="D4" s="185" t="s">
        <v>15</v>
      </c>
      <c r="E4" s="186">
        <f>-'saldos-ABC'!C8</f>
        <v>474965.24</v>
      </c>
    </row>
    <row r="5" spans="1:5" ht="12.75">
      <c r="A5" s="306"/>
      <c r="B5" s="6" t="s">
        <v>200</v>
      </c>
      <c r="C5" s="186">
        <f>SUM('saldos-ABC'!C122:C130)</f>
        <v>887223.34</v>
      </c>
      <c r="D5" s="185" t="s">
        <v>16</v>
      </c>
      <c r="E5" s="186">
        <f>-SUM('saldos-ABC'!C115:C121)-SUM('saldos-ABC'!C131:C134)</f>
        <v>1218789.0428571429</v>
      </c>
    </row>
    <row r="6" spans="1:5" ht="12.75">
      <c r="A6" s="307"/>
      <c r="B6" s="6" t="s">
        <v>198</v>
      </c>
      <c r="C6" s="186">
        <f>'saldos-ABC'!C135</f>
        <v>58925.47</v>
      </c>
      <c r="D6" s="187"/>
      <c r="E6" s="186"/>
    </row>
    <row r="7" spans="1:5" ht="13.5" thickBot="1">
      <c r="A7" s="188"/>
      <c r="B7" s="191"/>
      <c r="C7" s="189">
        <f>SUM(C3:C6)</f>
        <v>2639527.4087694637</v>
      </c>
      <c r="D7" s="188"/>
      <c r="E7" s="189">
        <f>SUM(E3:E6)</f>
        <v>2639527.408769439</v>
      </c>
    </row>
  </sheetData>
  <sheetProtection/>
  <mergeCells count="5">
    <mergeCell ref="A4:A6"/>
    <mergeCell ref="A2:C2"/>
    <mergeCell ref="D2:E2"/>
    <mergeCell ref="A1:E1"/>
    <mergeCell ref="A3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2.7109375" style="0" bestFit="1" customWidth="1"/>
    <col min="2" max="2" width="14.00390625" style="3" customWidth="1"/>
    <col min="3" max="6" width="20.421875" style="0" customWidth="1"/>
    <col min="7" max="7" width="14.8515625" style="5" customWidth="1"/>
    <col min="8" max="8" width="14.7109375" style="0" customWidth="1"/>
  </cols>
  <sheetData>
    <row r="1" spans="1:8" ht="15.75">
      <c r="A1" s="251" t="s">
        <v>336</v>
      </c>
      <c r="B1" s="12" t="s">
        <v>17</v>
      </c>
      <c r="C1" s="11" t="s">
        <v>102</v>
      </c>
      <c r="D1" s="11" t="s">
        <v>103</v>
      </c>
      <c r="E1" s="11" t="s">
        <v>104</v>
      </c>
      <c r="F1" s="11" t="s">
        <v>105</v>
      </c>
      <c r="G1" s="11" t="s">
        <v>106</v>
      </c>
      <c r="H1" s="52" t="s">
        <v>233</v>
      </c>
    </row>
    <row r="2" spans="1:8" ht="12.75">
      <c r="A2" s="4" t="s">
        <v>215</v>
      </c>
      <c r="B2" s="29">
        <f>+'saldos-ABC'!C136+'saldos-ABC'!C145+'saldos-ABC'!C146</f>
        <v>348306.16584731056</v>
      </c>
      <c r="C2" s="30">
        <f>$B2*C10/($C$10+$D$10)</f>
        <v>257362.75672163538</v>
      </c>
      <c r="D2" s="30">
        <f>$B2*D10/($C$10+$D$10)</f>
        <v>90943.40912567519</v>
      </c>
      <c r="E2" s="1"/>
      <c r="F2" s="1"/>
      <c r="G2" s="79"/>
      <c r="H2" s="6"/>
    </row>
    <row r="3" spans="1:8" ht="12.75">
      <c r="A3" s="4" t="s">
        <v>216</v>
      </c>
      <c r="B3" s="29">
        <f>MP!$E$31+MP!$E$33</f>
        <v>78843.39721100917</v>
      </c>
      <c r="C3" s="10"/>
      <c r="D3" s="1"/>
      <c r="E3" s="30">
        <f>$B3*E10/($E$10+$F$10)</f>
        <v>58015.479666236184</v>
      </c>
      <c r="F3" s="30">
        <f>$B3*F10/($E$10+$F$10)</f>
        <v>20827.91754477299</v>
      </c>
      <c r="G3" s="79"/>
      <c r="H3" s="6"/>
    </row>
    <row r="4" spans="1:8" ht="12.75">
      <c r="A4" s="4" t="s">
        <v>18</v>
      </c>
      <c r="B4" s="29">
        <f>SUM(C4:G4)</f>
        <v>12582.364</v>
      </c>
      <c r="C4" s="30">
        <f>'horas pers'!L$13</f>
        <v>3623.307699446668</v>
      </c>
      <c r="D4" s="30">
        <f>'horas pers'!M$13</f>
        <v>6723.161432350311</v>
      </c>
      <c r="E4" s="30">
        <f>'horas pers'!N$13</f>
        <v>1010.369477591888</v>
      </c>
      <c r="F4" s="30">
        <f>'horas pers'!O$13</f>
        <v>1225.5253906111325</v>
      </c>
      <c r="G4" s="79"/>
      <c r="H4" s="6"/>
    </row>
    <row r="5" spans="1:8" ht="12.75">
      <c r="A5" s="4" t="s">
        <v>19</v>
      </c>
      <c r="B5" s="29">
        <f>SUM(C5:G5)</f>
        <v>66420.06959050117</v>
      </c>
      <c r="C5" s="30">
        <f>'saldos-ABC'!AW264</f>
        <v>35314.712039584345</v>
      </c>
      <c r="D5" s="8">
        <f>+'saldos-ABC'!AW265</f>
        <v>14755.164060163825</v>
      </c>
      <c r="E5" s="8">
        <f>+'saldos-ABC'!AW266</f>
        <v>6810.091776667667</v>
      </c>
      <c r="F5" s="8">
        <f>+'saldos-ABC'!AW267</f>
        <v>2910.645895148703</v>
      </c>
      <c r="G5" s="80">
        <f>+'saldos-ABC'!AW268</f>
        <v>6629.455818936625</v>
      </c>
      <c r="H5" s="8">
        <f>'saldos-ABC'!M256+'saldos-ABC'!N256</f>
        <v>1589.0849169181542</v>
      </c>
    </row>
    <row r="6" spans="1:8" ht="12.75">
      <c r="A6" s="51" t="s">
        <v>225</v>
      </c>
      <c r="B6" s="98">
        <f>SUM(C6:F6)</f>
        <v>25349.21</v>
      </c>
      <c r="C6" s="65">
        <f>+'saldos-ABC'!C141+'saldos-ABC'!C151</f>
        <v>8295.8</v>
      </c>
      <c r="D6" s="65">
        <f>+'saldos-ABC'!C142+'saldos-ABC'!C152</f>
        <v>9175.060000000001</v>
      </c>
      <c r="E6" s="65">
        <f>+'saldos-ABC'!C143+'saldos-ABC'!C153</f>
        <v>3950.05</v>
      </c>
      <c r="F6" s="65">
        <f>+'saldos-ABC'!C144+'saldos-ABC'!C154</f>
        <v>3928.3</v>
      </c>
      <c r="G6" s="81"/>
      <c r="H6" s="6"/>
    </row>
    <row r="7" spans="1:8" ht="12.75">
      <c r="A7" s="23" t="s">
        <v>20</v>
      </c>
      <c r="B7" s="8">
        <f aca="true" t="shared" si="0" ref="B7:H7">SUM(B2:B6)</f>
        <v>531501.2066488209</v>
      </c>
      <c r="C7" s="8">
        <f t="shared" si="0"/>
        <v>304596.5764606664</v>
      </c>
      <c r="D7" s="8">
        <f t="shared" si="0"/>
        <v>121596.79461818932</v>
      </c>
      <c r="E7" s="8">
        <f t="shared" si="0"/>
        <v>69785.99092049574</v>
      </c>
      <c r="F7" s="8">
        <f t="shared" si="0"/>
        <v>28892.388830532826</v>
      </c>
      <c r="G7" s="99">
        <f t="shared" si="0"/>
        <v>6629.455818936625</v>
      </c>
      <c r="H7" s="8">
        <f t="shared" si="0"/>
        <v>1589.0849169181542</v>
      </c>
    </row>
    <row r="8" spans="1:8" ht="12.75">
      <c r="A8" s="6" t="s">
        <v>238</v>
      </c>
      <c r="B8" s="8">
        <f>SUM(B3:B7)</f>
        <v>714696.2474503312</v>
      </c>
      <c r="C8" s="66">
        <v>0</v>
      </c>
      <c r="D8" s="28">
        <v>0</v>
      </c>
      <c r="E8" s="28">
        <v>0</v>
      </c>
      <c r="F8" s="28">
        <v>0</v>
      </c>
      <c r="G8" s="82"/>
      <c r="H8" s="6"/>
    </row>
    <row r="9" spans="1:8" ht="13.5" thickBot="1">
      <c r="A9" s="67" t="s">
        <v>21</v>
      </c>
      <c r="B9" s="68">
        <f>SUM(C9:G9)</f>
        <v>524871.7508298842</v>
      </c>
      <c r="C9" s="88">
        <f>+C7+C8</f>
        <v>304596.5764606664</v>
      </c>
      <c r="D9" s="88">
        <f>+D7+D8</f>
        <v>121596.79461818932</v>
      </c>
      <c r="E9" s="88">
        <f>+E7+E8</f>
        <v>69785.99092049574</v>
      </c>
      <c r="F9" s="88">
        <f>+F7+F8</f>
        <v>28892.388830532826</v>
      </c>
      <c r="G9" s="89"/>
      <c r="H9" s="101">
        <f>+H7+H8</f>
        <v>1589.0849169181542</v>
      </c>
    </row>
    <row r="10" spans="1:8" ht="12.75">
      <c r="A10" s="71" t="s">
        <v>242</v>
      </c>
      <c r="B10" s="72">
        <f>SUM(C10:F10)</f>
        <v>563436</v>
      </c>
      <c r="C10" s="92">
        <f>MP!$C$6</f>
        <v>348420</v>
      </c>
      <c r="D10" s="92">
        <f>+MP!$C$7*0.2</f>
        <v>123120</v>
      </c>
      <c r="E10" s="92">
        <f>MP!$C$22</f>
        <v>67620</v>
      </c>
      <c r="F10" s="92">
        <f>MP!$C$23*0.2</f>
        <v>24276</v>
      </c>
      <c r="G10" s="83"/>
      <c r="H10" s="100"/>
    </row>
    <row r="11" spans="1:8" ht="12.75">
      <c r="A11" s="75" t="s">
        <v>243</v>
      </c>
      <c r="B11" s="12">
        <f>SUM(C11:F11)</f>
        <v>1153020</v>
      </c>
      <c r="C11" s="93">
        <f>MP!$C$6</f>
        <v>348420</v>
      </c>
      <c r="D11" s="95">
        <f>+MP!$C$7</f>
        <v>615600</v>
      </c>
      <c r="E11" s="94">
        <f>MP!$C$22</f>
        <v>67620</v>
      </c>
      <c r="F11" s="95">
        <f>MP!$C$23</f>
        <v>121380</v>
      </c>
      <c r="G11" s="79"/>
      <c r="H11" s="86"/>
    </row>
    <row r="12" spans="1:8" ht="13.5" thickBot="1">
      <c r="A12" s="76" t="s">
        <v>244</v>
      </c>
      <c r="B12" s="77">
        <f>SUM(C12:F12)</f>
        <v>130755</v>
      </c>
      <c r="C12" s="96">
        <f>C11/6</f>
        <v>58070</v>
      </c>
      <c r="D12" s="97">
        <f>+D11/12</f>
        <v>51300</v>
      </c>
      <c r="E12" s="96">
        <f>E11/6</f>
        <v>11270</v>
      </c>
      <c r="F12" s="97">
        <f>+F11/12</f>
        <v>10115</v>
      </c>
      <c r="G12" s="84"/>
      <c r="H12" s="87"/>
    </row>
    <row r="13" spans="1:7" ht="12.75">
      <c r="A13" s="71" t="s">
        <v>239</v>
      </c>
      <c r="B13" s="72"/>
      <c r="C13" s="127">
        <f>+C$9/C10</f>
        <v>0.8742224225379323</v>
      </c>
      <c r="D13" s="127">
        <f>+D$9/D10</f>
        <v>0.9876282863725578</v>
      </c>
      <c r="E13" s="127">
        <f>+E$9/E10</f>
        <v>1.0320318089395997</v>
      </c>
      <c r="F13" s="127">
        <f>+F$9/F10</f>
        <v>1.1901626639698808</v>
      </c>
      <c r="G13" s="74"/>
    </row>
    <row r="14" spans="1:7" ht="12.75">
      <c r="A14" s="126" t="s">
        <v>240</v>
      </c>
      <c r="B14" s="125"/>
      <c r="C14" s="256">
        <f aca="true" t="shared" si="1" ref="C14:F15">+C$9/C11</f>
        <v>0.8742224225379323</v>
      </c>
      <c r="D14" s="256">
        <f t="shared" si="1"/>
        <v>0.19752565727451157</v>
      </c>
      <c r="E14" s="256">
        <f t="shared" si="1"/>
        <v>1.0320318089395997</v>
      </c>
      <c r="F14" s="256">
        <f t="shared" si="1"/>
        <v>0.23803253279397615</v>
      </c>
      <c r="G14" s="91"/>
    </row>
    <row r="15" spans="1:7" ht="13.5" thickBot="1">
      <c r="A15" s="76" t="s">
        <v>241</v>
      </c>
      <c r="B15" s="77"/>
      <c r="C15" s="128">
        <f t="shared" si="1"/>
        <v>5.2453345352275935</v>
      </c>
      <c r="D15" s="129">
        <f t="shared" si="1"/>
        <v>2.370307887294139</v>
      </c>
      <c r="E15" s="128">
        <f t="shared" si="1"/>
        <v>6.192190853637599</v>
      </c>
      <c r="F15" s="129">
        <f t="shared" si="1"/>
        <v>2.8563903935277137</v>
      </c>
      <c r="G15" s="78"/>
    </row>
    <row r="16" ht="12.75"/>
  </sheetData>
  <sheetProtection/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zoomScale="105" zoomScaleNormal="105" zoomScalePageLayoutView="0" workbookViewId="0" topLeftCell="A1">
      <selection activeCell="A3" sqref="A3"/>
    </sheetView>
  </sheetViews>
  <sheetFormatPr defaultColWidth="11.421875" defaultRowHeight="12.75"/>
  <cols>
    <col min="1" max="1" width="10.28125" style="0" customWidth="1"/>
    <col min="2" max="3" width="11.57421875" style="0" bestFit="1" customWidth="1"/>
    <col min="4" max="4" width="12.421875" style="0" bestFit="1" customWidth="1"/>
    <col min="5" max="6" width="11.57421875" style="0" bestFit="1" customWidth="1"/>
    <col min="7" max="7" width="15.421875" style="0" customWidth="1"/>
    <col min="8" max="13" width="11.57421875" style="0" bestFit="1" customWidth="1"/>
  </cols>
  <sheetData>
    <row r="1" ht="15.75">
      <c r="A1" s="192" t="s">
        <v>335</v>
      </c>
    </row>
    <row r="2" spans="1:256" ht="15.75">
      <c r="A2" s="251" t="s">
        <v>336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  <c r="IN2" s="192"/>
      <c r="IO2" s="192"/>
      <c r="IP2" s="192"/>
      <c r="IQ2" s="192"/>
      <c r="IR2" s="192"/>
      <c r="IS2" s="192"/>
      <c r="IT2" s="192"/>
      <c r="IU2" s="192"/>
      <c r="IV2" s="192"/>
    </row>
    <row r="3" spans="1:256" ht="15.75">
      <c r="A3" s="192" t="s">
        <v>298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  <c r="IN3" s="192"/>
      <c r="IO3" s="192"/>
      <c r="IP3" s="192"/>
      <c r="IQ3" s="192"/>
      <c r="IR3" s="192"/>
      <c r="IS3" s="192"/>
      <c r="IT3" s="192"/>
      <c r="IU3" s="192"/>
      <c r="IV3" s="192"/>
    </row>
    <row r="4" spans="1:13" ht="12.75">
      <c r="A4" s="241"/>
      <c r="B4" s="283" t="s">
        <v>328</v>
      </c>
      <c r="C4" s="284"/>
      <c r="D4" s="285"/>
      <c r="E4" s="283" t="s">
        <v>329</v>
      </c>
      <c r="F4" s="284"/>
      <c r="G4" s="285"/>
      <c r="H4" s="283" t="s">
        <v>330</v>
      </c>
      <c r="I4" s="284"/>
      <c r="J4" s="285"/>
      <c r="K4" s="283" t="s">
        <v>331</v>
      </c>
      <c r="L4" s="284"/>
      <c r="M4" s="285"/>
    </row>
    <row r="5" spans="1:13" ht="12.75">
      <c r="A5" s="100"/>
      <c r="B5" s="242" t="s">
        <v>324</v>
      </c>
      <c r="C5" s="194" t="s">
        <v>325</v>
      </c>
      <c r="D5" s="243" t="s">
        <v>293</v>
      </c>
      <c r="E5" s="242" t="s">
        <v>324</v>
      </c>
      <c r="F5" s="194" t="s">
        <v>325</v>
      </c>
      <c r="G5" s="243" t="s">
        <v>293</v>
      </c>
      <c r="H5" s="242" t="s">
        <v>324</v>
      </c>
      <c r="I5" s="194" t="s">
        <v>325</v>
      </c>
      <c r="J5" s="243" t="s">
        <v>293</v>
      </c>
      <c r="K5" s="242" t="s">
        <v>324</v>
      </c>
      <c r="L5" s="194" t="s">
        <v>325</v>
      </c>
      <c r="M5" s="243" t="s">
        <v>293</v>
      </c>
    </row>
    <row r="6" spans="1:13" ht="12.75">
      <c r="A6" s="244" t="s">
        <v>332</v>
      </c>
      <c r="B6" s="248">
        <v>0</v>
      </c>
      <c r="C6" s="210"/>
      <c r="D6" s="246">
        <f>+B6*C6</f>
        <v>0</v>
      </c>
      <c r="E6" s="248">
        <v>0</v>
      </c>
      <c r="F6" s="210"/>
      <c r="G6" s="246">
        <f>+E6*F6</f>
        <v>0</v>
      </c>
      <c r="H6" s="248">
        <v>0</v>
      </c>
      <c r="I6" s="210"/>
      <c r="J6" s="246">
        <f>+H6*I6</f>
        <v>0</v>
      </c>
      <c r="K6" s="248">
        <v>0</v>
      </c>
      <c r="L6" s="210"/>
      <c r="M6" s="246">
        <f>+K6*L6</f>
        <v>0</v>
      </c>
    </row>
    <row r="7" spans="1:13" ht="12.75">
      <c r="A7" s="244" t="s">
        <v>282</v>
      </c>
      <c r="B7" s="248">
        <v>0</v>
      </c>
      <c r="C7" s="210"/>
      <c r="D7" s="246">
        <f>+B7*C7</f>
        <v>0</v>
      </c>
      <c r="E7" s="248">
        <v>0</v>
      </c>
      <c r="F7" s="210"/>
      <c r="G7" s="246">
        <f>+E7*F7</f>
        <v>0</v>
      </c>
      <c r="H7" s="248">
        <v>0</v>
      </c>
      <c r="I7" s="210"/>
      <c r="J7" s="246">
        <f>+H7*I7</f>
        <v>0</v>
      </c>
      <c r="K7" s="248">
        <v>0</v>
      </c>
      <c r="L7" s="210"/>
      <c r="M7" s="246">
        <f>+K7*L7</f>
        <v>0</v>
      </c>
    </row>
    <row r="8" spans="1:13" ht="12.75">
      <c r="A8" s="244" t="s">
        <v>255</v>
      </c>
      <c r="B8" s="248">
        <v>0</v>
      </c>
      <c r="C8" s="210"/>
      <c r="D8" s="246">
        <f>+B8*C8</f>
        <v>0</v>
      </c>
      <c r="E8" s="248">
        <v>0</v>
      </c>
      <c r="F8" s="210"/>
      <c r="G8" s="246">
        <f>+E8*F8</f>
        <v>0</v>
      </c>
      <c r="H8" s="248">
        <v>0</v>
      </c>
      <c r="I8" s="210"/>
      <c r="J8" s="246">
        <f>+H8*I8</f>
        <v>0</v>
      </c>
      <c r="K8" s="248">
        <v>0</v>
      </c>
      <c r="L8" s="210"/>
      <c r="M8" s="246">
        <f>+K8*L8</f>
        <v>0</v>
      </c>
    </row>
    <row r="9" spans="1:13" ht="12.75">
      <c r="A9" s="244" t="s">
        <v>333</v>
      </c>
      <c r="B9" s="248">
        <v>0</v>
      </c>
      <c r="C9" s="210"/>
      <c r="D9" s="246">
        <f>+B9*C9</f>
        <v>0</v>
      </c>
      <c r="E9" s="248">
        <v>0</v>
      </c>
      <c r="F9" s="210"/>
      <c r="G9" s="246">
        <f>+E9*F9</f>
        <v>0</v>
      </c>
      <c r="H9" s="248">
        <v>0</v>
      </c>
      <c r="I9" s="210"/>
      <c r="J9" s="246">
        <f>+H9*I9</f>
        <v>0</v>
      </c>
      <c r="K9" s="248">
        <v>0</v>
      </c>
      <c r="L9" s="210"/>
      <c r="M9" s="246">
        <f>+K9*L9</f>
        <v>0</v>
      </c>
    </row>
    <row r="10" spans="1:13" ht="12.75">
      <c r="A10" s="244" t="s">
        <v>334</v>
      </c>
      <c r="B10" s="178"/>
      <c r="C10" s="178"/>
      <c r="D10" s="247">
        <f>+D6-D9</f>
        <v>0</v>
      </c>
      <c r="E10" s="178"/>
      <c r="F10" s="178"/>
      <c r="G10" s="247">
        <f>+G6-G9</f>
        <v>0</v>
      </c>
      <c r="H10" s="178"/>
      <c r="I10" s="178"/>
      <c r="J10" s="247">
        <f>+J6-J9</f>
        <v>0</v>
      </c>
      <c r="K10" s="178"/>
      <c r="L10" s="178"/>
      <c r="M10" s="247">
        <f>+M6-M9</f>
        <v>0</v>
      </c>
    </row>
  </sheetData>
  <sheetProtection/>
  <mergeCells count="4"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"/>
  <sheetViews>
    <sheetView zoomScale="105" zoomScaleNormal="105" zoomScalePageLayoutView="0" workbookViewId="0" topLeftCell="A1">
      <selection activeCell="L20" sqref="L20"/>
    </sheetView>
  </sheetViews>
  <sheetFormatPr defaultColWidth="11.421875" defaultRowHeight="12.75"/>
  <cols>
    <col min="1" max="2" width="10.7109375" style="0" customWidth="1"/>
    <col min="3" max="3" width="15.7109375" style="0" bestFit="1" customWidth="1"/>
    <col min="4" max="4" width="12.421875" style="0" bestFit="1" customWidth="1"/>
    <col min="5" max="5" width="9.140625" style="0" bestFit="1" customWidth="1"/>
    <col min="6" max="6" width="16.421875" style="0" customWidth="1"/>
    <col min="7" max="7" width="12.421875" style="0" bestFit="1" customWidth="1"/>
    <col min="8" max="8" width="9.140625" style="0" bestFit="1" customWidth="1"/>
    <col min="9" max="9" width="15.8515625" style="0" customWidth="1"/>
    <col min="10" max="10" width="11.28125" style="0" bestFit="1" customWidth="1"/>
    <col min="11" max="11" width="9.140625" style="0" bestFit="1" customWidth="1"/>
    <col min="12" max="12" width="17.57421875" style="0" customWidth="1"/>
    <col min="13" max="13" width="11.57421875" style="0" bestFit="1" customWidth="1"/>
  </cols>
  <sheetData>
    <row r="1" ht="15.75">
      <c r="A1" s="192" t="s">
        <v>327</v>
      </c>
    </row>
    <row r="2" spans="1:256" ht="15.75">
      <c r="A2" s="251" t="s">
        <v>336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  <c r="IN2" s="192"/>
      <c r="IO2" s="192"/>
      <c r="IP2" s="192"/>
      <c r="IQ2" s="192"/>
      <c r="IR2" s="192"/>
      <c r="IS2" s="192"/>
      <c r="IT2" s="192"/>
      <c r="IU2" s="192"/>
      <c r="IV2" s="192"/>
    </row>
    <row r="3" spans="1:256" ht="15.75">
      <c r="A3" s="192" t="s">
        <v>298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  <c r="IN3" s="192"/>
      <c r="IO3" s="192"/>
      <c r="IP3" s="192"/>
      <c r="IQ3" s="192"/>
      <c r="IR3" s="192"/>
      <c r="IS3" s="192"/>
      <c r="IT3" s="192"/>
      <c r="IU3" s="192"/>
      <c r="IV3" s="192"/>
    </row>
    <row r="4" spans="1:13" ht="12.75">
      <c r="A4" s="241"/>
      <c r="B4" s="283" t="s">
        <v>328</v>
      </c>
      <c r="C4" s="284"/>
      <c r="D4" s="285"/>
      <c r="E4" s="283" t="s">
        <v>329</v>
      </c>
      <c r="F4" s="284"/>
      <c r="G4" s="285"/>
      <c r="H4" s="283" t="s">
        <v>330</v>
      </c>
      <c r="I4" s="284"/>
      <c r="J4" s="285"/>
      <c r="K4" s="283" t="s">
        <v>331</v>
      </c>
      <c r="L4" s="284"/>
      <c r="M4" s="285"/>
    </row>
    <row r="5" spans="1:13" ht="12.75">
      <c r="A5" s="100"/>
      <c r="B5" s="242" t="s">
        <v>324</v>
      </c>
      <c r="C5" s="194" t="s">
        <v>325</v>
      </c>
      <c r="D5" s="243" t="s">
        <v>293</v>
      </c>
      <c r="E5" s="242" t="s">
        <v>324</v>
      </c>
      <c r="F5" s="194" t="s">
        <v>325</v>
      </c>
      <c r="G5" s="243" t="s">
        <v>293</v>
      </c>
      <c r="H5" s="242" t="s">
        <v>324</v>
      </c>
      <c r="I5" s="194" t="s">
        <v>325</v>
      </c>
      <c r="J5" s="243" t="s">
        <v>293</v>
      </c>
      <c r="K5" s="242" t="s">
        <v>324</v>
      </c>
      <c r="L5" s="194" t="s">
        <v>325</v>
      </c>
      <c r="M5" s="243" t="s">
        <v>293</v>
      </c>
    </row>
    <row r="6" spans="1:13" ht="12.75">
      <c r="A6" s="244" t="s">
        <v>332</v>
      </c>
      <c r="B6" s="248">
        <v>34500</v>
      </c>
      <c r="C6" s="249">
        <v>0.7856</v>
      </c>
      <c r="D6" s="246">
        <f>+B6*C6</f>
        <v>27103.199999999997</v>
      </c>
      <c r="E6" s="248">
        <v>18720</v>
      </c>
      <c r="F6" s="249">
        <v>0.183</v>
      </c>
      <c r="G6" s="246">
        <f>+E6*F6</f>
        <v>3425.7599999999998</v>
      </c>
      <c r="H6" s="248">
        <v>11502</v>
      </c>
      <c r="I6" s="249">
        <v>1.0217</v>
      </c>
      <c r="J6" s="246">
        <f>+H6*I6</f>
        <v>11751.5934</v>
      </c>
      <c r="K6" s="248">
        <v>5280</v>
      </c>
      <c r="L6" s="249">
        <v>0.241</v>
      </c>
      <c r="M6" s="246">
        <f>+K6*L6</f>
        <v>1272.48</v>
      </c>
    </row>
    <row r="7" spans="1:13" ht="12.75">
      <c r="A7" s="244" t="s">
        <v>282</v>
      </c>
      <c r="B7" s="248">
        <f>MP!C6</f>
        <v>348420</v>
      </c>
      <c r="C7" s="250">
        <f>+'coste produc-ABC'!$C$14</f>
        <v>0.8742224225379323</v>
      </c>
      <c r="D7" s="246">
        <f>+B7*C7</f>
        <v>304596.5764606664</v>
      </c>
      <c r="E7" s="248">
        <f>MP!C7</f>
        <v>615600</v>
      </c>
      <c r="F7" s="250">
        <f>+'coste produc-ABC'!$D$14</f>
        <v>0.19752565727451157</v>
      </c>
      <c r="G7" s="246">
        <f>+E7*F7</f>
        <v>121596.79461818932</v>
      </c>
      <c r="H7" s="248">
        <f>MP!C22</f>
        <v>67620</v>
      </c>
      <c r="I7" s="250">
        <f>+'coste produc-ABC'!$E$14</f>
        <v>1.0320318089395997</v>
      </c>
      <c r="J7" s="246">
        <f>+H7*I7</f>
        <v>69785.99092049574</v>
      </c>
      <c r="K7" s="248">
        <f>MP!C23</f>
        <v>121380</v>
      </c>
      <c r="L7" s="250">
        <f>+'coste produc-ABC'!$F$14</f>
        <v>0.23803253279397615</v>
      </c>
      <c r="M7" s="246">
        <f>+K7*L7</f>
        <v>28892.388830532826</v>
      </c>
    </row>
    <row r="8" spans="1:13" ht="12.75">
      <c r="A8" s="244" t="s">
        <v>255</v>
      </c>
      <c r="B8" s="248">
        <f>+B6+B7-B9</f>
        <v>326100</v>
      </c>
      <c r="C8" s="249">
        <f>+(D6+D7)/(B6+B7)</f>
        <v>0.8662377949980842</v>
      </c>
      <c r="D8" s="246">
        <f>+B8*C8</f>
        <v>282480.14494887524</v>
      </c>
      <c r="E8" s="248">
        <f>+E6+E7-E9</f>
        <v>612888</v>
      </c>
      <c r="F8" s="249">
        <f>+(G6+G7)/(E6+E7)</f>
        <v>0.19709697726414005</v>
      </c>
      <c r="G8" s="246">
        <f>+E8*F8</f>
        <v>120798.37220146427</v>
      </c>
      <c r="H8" s="248">
        <f>+H6+H7-H9</f>
        <v>64332</v>
      </c>
      <c r="I8" s="249">
        <f>+(J6+J7)/(H6+H7)</f>
        <v>1.0305298693220057</v>
      </c>
      <c r="J8" s="246">
        <f>+H8*I8</f>
        <v>66296.04755322327</v>
      </c>
      <c r="K8" s="248">
        <f>+K6+K7-K9</f>
        <v>121860</v>
      </c>
      <c r="L8" s="249">
        <f>+(M6+M7)/(K6+K7)</f>
        <v>0.23815623583240822</v>
      </c>
      <c r="M8" s="246">
        <f>+K8*L8</f>
        <v>29021.718898537267</v>
      </c>
    </row>
    <row r="9" spans="1:13" ht="12.75">
      <c r="A9" s="244" t="s">
        <v>333</v>
      </c>
      <c r="B9" s="248">
        <v>56820</v>
      </c>
      <c r="C9" s="249">
        <f>C8</f>
        <v>0.8662377949980842</v>
      </c>
      <c r="D9" s="246">
        <f>+B9*C9</f>
        <v>49219.63151179114</v>
      </c>
      <c r="E9" s="248">
        <v>21432</v>
      </c>
      <c r="F9" s="249">
        <f>F8</f>
        <v>0.19709697726414005</v>
      </c>
      <c r="G9" s="246">
        <f>+E9*F9</f>
        <v>4224.18241672505</v>
      </c>
      <c r="H9" s="248">
        <v>14790</v>
      </c>
      <c r="I9" s="249">
        <f>I8</f>
        <v>1.0305298693220057</v>
      </c>
      <c r="J9" s="246">
        <f>+H9*I9</f>
        <v>15241.536767272464</v>
      </c>
      <c r="K9" s="248">
        <v>4800</v>
      </c>
      <c r="L9" s="249">
        <f>L8</f>
        <v>0.23815623583240822</v>
      </c>
      <c r="M9" s="246">
        <f>+K9*L9</f>
        <v>1143.1499319955594</v>
      </c>
    </row>
    <row r="10" spans="1:13" ht="12.75">
      <c r="A10" s="244" t="s">
        <v>334</v>
      </c>
      <c r="B10" s="178"/>
      <c r="C10" s="178"/>
      <c r="D10" s="247">
        <f>+D6-D9</f>
        <v>-22116.431511791146</v>
      </c>
      <c r="E10" s="178"/>
      <c r="F10" s="178"/>
      <c r="G10" s="247">
        <f>+G6-G9</f>
        <v>-798.42241672505</v>
      </c>
      <c r="H10" s="178"/>
      <c r="I10" s="178"/>
      <c r="J10" s="247">
        <f>+J6-J9</f>
        <v>-3489.9433672724645</v>
      </c>
      <c r="K10" s="178"/>
      <c r="L10" s="178"/>
      <c r="M10" s="247">
        <f>+M6-M9</f>
        <v>129.3300680044406</v>
      </c>
    </row>
    <row r="12" spans="4:13" ht="12.75">
      <c r="D12" t="str">
        <f>IF(D6+D7=D8+D9,"OK","ERROR")</f>
        <v>OK</v>
      </c>
      <c r="G12" t="str">
        <f>IF(G6+G7=G8+G9,"OK","ERROR")</f>
        <v>OK</v>
      </c>
      <c r="J12" t="str">
        <f>IF(J6+J7=J8+J9,"OK","ERROR")</f>
        <v>OK</v>
      </c>
      <c r="M12" t="str">
        <f>IF(M6+M7=M8+M9,"OK","ERROR")</f>
        <v>OK</v>
      </c>
    </row>
  </sheetData>
  <sheetProtection/>
  <mergeCells count="4"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2.28125" style="0" bestFit="1" customWidth="1"/>
    <col min="2" max="2" width="14.00390625" style="3" customWidth="1"/>
    <col min="3" max="6" width="14.8515625" style="0" customWidth="1"/>
    <col min="7" max="7" width="14.8515625" style="5" customWidth="1"/>
    <col min="8" max="8" width="13.140625" style="0" customWidth="1"/>
  </cols>
  <sheetData>
    <row r="1" spans="1:7" ht="15.75">
      <c r="A1" s="251" t="s">
        <v>336</v>
      </c>
      <c r="B1" s="12" t="s">
        <v>17</v>
      </c>
      <c r="C1" s="11" t="s">
        <v>102</v>
      </c>
      <c r="D1" s="11" t="s">
        <v>103</v>
      </c>
      <c r="E1" s="11" t="s">
        <v>104</v>
      </c>
      <c r="F1" s="11" t="s">
        <v>105</v>
      </c>
      <c r="G1" s="11" t="s">
        <v>106</v>
      </c>
    </row>
    <row r="2" spans="1:7" s="102" customFormat="1" ht="12.75">
      <c r="A2" s="103" t="s">
        <v>22</v>
      </c>
      <c r="B2" s="29">
        <f aca="true" t="shared" si="0" ref="B2:B7">SUM(C2:G2)</f>
        <v>673603.28</v>
      </c>
      <c r="C2" s="131">
        <f>+C3+C4+C5</f>
        <v>329960.4</v>
      </c>
      <c r="D2" s="131">
        <f>+D3+D4+D5</f>
        <v>220183.68000000002</v>
      </c>
      <c r="E2" s="131">
        <f>+E3+E4+E5</f>
        <v>68215.44</v>
      </c>
      <c r="F2" s="131">
        <f>+F3+F4+F5</f>
        <v>48443.76</v>
      </c>
      <c r="G2" s="131">
        <f>+G3+G4+G5</f>
        <v>6800</v>
      </c>
    </row>
    <row r="3" spans="1:8" ht="12.75">
      <c r="A3" s="6" t="s">
        <v>23</v>
      </c>
      <c r="B3" s="123">
        <f t="shared" si="0"/>
        <v>673603.28</v>
      </c>
      <c r="C3" s="8">
        <f>-'saldos-ABC'!C238</f>
        <v>329960.4</v>
      </c>
      <c r="D3" s="8">
        <f>-'saldos-ABC'!C239</f>
        <v>220183.68000000002</v>
      </c>
      <c r="E3" s="8">
        <f>-'saldos-ABC'!C240</f>
        <v>68215.44</v>
      </c>
      <c r="F3" s="8">
        <f>-'saldos-ABC'!C241</f>
        <v>48443.76</v>
      </c>
      <c r="G3" s="30">
        <f>-'saldos-ABC'!C242</f>
        <v>6800</v>
      </c>
      <c r="H3" s="62"/>
    </row>
    <row r="4" spans="1:7" ht="12.75">
      <c r="A4" s="6" t="s">
        <v>24</v>
      </c>
      <c r="B4" s="123">
        <f t="shared" si="0"/>
        <v>0</v>
      </c>
      <c r="C4" s="6">
        <v>0</v>
      </c>
      <c r="D4" s="6">
        <v>0</v>
      </c>
      <c r="E4" s="6">
        <v>0</v>
      </c>
      <c r="F4" s="6">
        <v>0</v>
      </c>
      <c r="G4" s="7">
        <v>0</v>
      </c>
    </row>
    <row r="5" spans="1:7" ht="13.5" thickBot="1">
      <c r="A5" s="85" t="s">
        <v>25</v>
      </c>
      <c r="B5" s="124">
        <f t="shared" si="0"/>
        <v>0</v>
      </c>
      <c r="C5" s="85">
        <v>0</v>
      </c>
      <c r="D5" s="85">
        <v>0</v>
      </c>
      <c r="E5" s="85">
        <v>0</v>
      </c>
      <c r="F5" s="85">
        <v>0</v>
      </c>
      <c r="G5" s="105">
        <v>0</v>
      </c>
    </row>
    <row r="6" spans="1:7" s="102" customFormat="1" ht="13.5" thickBot="1">
      <c r="A6" s="106" t="s">
        <v>245</v>
      </c>
      <c r="B6" s="122">
        <f t="shared" si="0"/>
        <v>505225.7394210367</v>
      </c>
      <c r="C6" s="122">
        <f>'prod term'!$D$8</f>
        <v>282480.14494887524</v>
      </c>
      <c r="D6" s="122">
        <f>'prod term'!$G$8</f>
        <v>120798.37220146427</v>
      </c>
      <c r="E6" s="122">
        <f>'prod term'!$J$8</f>
        <v>66296.04755322327</v>
      </c>
      <c r="F6" s="122">
        <f>'prod term'!$M$8</f>
        <v>29021.718898537267</v>
      </c>
      <c r="G6" s="130">
        <f>'coste produc-ABC'!G7</f>
        <v>6629.455818936625</v>
      </c>
    </row>
    <row r="7" spans="1:7" ht="12.75">
      <c r="A7" s="104" t="s">
        <v>26</v>
      </c>
      <c r="B7" s="134">
        <f t="shared" si="0"/>
        <v>168377.54057896335</v>
      </c>
      <c r="C7" s="28">
        <f>+C2-C6</f>
        <v>47480.25505112478</v>
      </c>
      <c r="D7" s="28">
        <f>+D2-D6</f>
        <v>99385.30779853575</v>
      </c>
      <c r="E7" s="28">
        <f>+E2-E6</f>
        <v>1919.3924467767356</v>
      </c>
      <c r="F7" s="28">
        <f>+F2-F6</f>
        <v>19422.041101462735</v>
      </c>
      <c r="G7" s="28">
        <f>+G2-G6</f>
        <v>170.5441810633747</v>
      </c>
    </row>
    <row r="8" spans="1:7" ht="13.5" thickBot="1">
      <c r="A8" s="102" t="s">
        <v>251</v>
      </c>
      <c r="B8" s="68">
        <f>+'saldos-ABC'!AW273</f>
        <v>121799.9</v>
      </c>
      <c r="C8" s="9"/>
      <c r="D8" s="9"/>
      <c r="E8" s="9"/>
      <c r="F8" s="9"/>
      <c r="G8" s="9"/>
    </row>
    <row r="9" spans="1:9" ht="13.5" thickBot="1">
      <c r="A9" s="133" t="s">
        <v>27</v>
      </c>
      <c r="B9" s="135">
        <f>+B7-B8</f>
        <v>46577.64057896336</v>
      </c>
      <c r="C9" s="132"/>
      <c r="D9" s="9"/>
      <c r="E9" s="9"/>
      <c r="F9" s="9"/>
      <c r="G9" s="9"/>
      <c r="H9" s="170">
        <f>+B9/B2</f>
        <v>0.0691469919489753</v>
      </c>
      <c r="I9" t="s">
        <v>268</v>
      </c>
    </row>
    <row r="10" spans="1:7" ht="12.75">
      <c r="A10" s="102" t="s">
        <v>250</v>
      </c>
      <c r="B10" s="134">
        <f>+'saldos-ABC'!AW274</f>
        <v>36204.238</v>
      </c>
      <c r="C10" s="9"/>
      <c r="D10" s="9"/>
      <c r="E10" s="9"/>
      <c r="F10" s="9"/>
      <c r="G10" s="9"/>
    </row>
    <row r="11" spans="1:7" ht="12.75">
      <c r="A11" s="23" t="s">
        <v>252</v>
      </c>
      <c r="B11" s="29">
        <f>-'saldos-ABC'!C193-'saldos-ABC'!C194-'saldos-ABC'!C252-'saldos-ABC'!C253</f>
        <v>15894.68</v>
      </c>
      <c r="C11" s="9"/>
      <c r="D11" s="9"/>
      <c r="E11" s="9"/>
      <c r="F11" s="9"/>
      <c r="G11" s="9"/>
    </row>
    <row r="12" spans="1:9" ht="12.75">
      <c r="A12" s="159" t="s">
        <v>28</v>
      </c>
      <c r="B12" s="173">
        <f>+B9-B10+B11</f>
        <v>26268.08257896336</v>
      </c>
      <c r="C12" s="9"/>
      <c r="D12" s="9"/>
      <c r="E12" s="9"/>
      <c r="F12" s="9"/>
      <c r="G12" s="9"/>
      <c r="H12" s="170">
        <f>+B12/B2</f>
        <v>0.03899636976079356</v>
      </c>
      <c r="I12" t="s">
        <v>269</v>
      </c>
    </row>
    <row r="13" spans="3:7" ht="12.75">
      <c r="C13" s="170">
        <f>+C7/C2</f>
        <v>0.14389682838038984</v>
      </c>
      <c r="D13" s="170">
        <f>+D7/D2</f>
        <v>0.4513745423754192</v>
      </c>
      <c r="E13" s="170">
        <f>+E7/E2</f>
        <v>0.02813721419632763</v>
      </c>
      <c r="F13" s="170">
        <f>+F7/F2</f>
        <v>0.4009193568266116</v>
      </c>
      <c r="G13" s="170">
        <f>+G7/G2</f>
        <v>0.02508002662696687</v>
      </c>
    </row>
    <row r="14" spans="3:7" ht="12.75">
      <c r="C14" s="316" t="s">
        <v>267</v>
      </c>
      <c r="D14" s="316"/>
      <c r="E14" s="316"/>
      <c r="F14" s="316"/>
      <c r="G14" s="316"/>
    </row>
    <row r="18" ht="12.75">
      <c r="B18" s="99"/>
    </row>
  </sheetData>
  <sheetProtection/>
  <mergeCells count="1">
    <mergeCell ref="C14:G1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alba@um.es</dc:creator>
  <cp:keywords/>
  <dc:description/>
  <cp:lastModifiedBy>alba</cp:lastModifiedBy>
  <dcterms:created xsi:type="dcterms:W3CDTF">2009-09-25T11:11:16Z</dcterms:created>
  <dcterms:modified xsi:type="dcterms:W3CDTF">2015-02-04T12:06:27Z</dcterms:modified>
  <cp:category/>
  <cp:version/>
  <cp:contentType/>
  <cp:contentStatus/>
</cp:coreProperties>
</file>